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dc6\BUGET\HOTARARI 2025\BUGET LOCAL INIȚIAL\varinata site\"/>
    </mc:Choice>
  </mc:AlternateContent>
  <bookViews>
    <workbookView xWindow="0" yWindow="0" windowWidth="28800" windowHeight="11835"/>
  </bookViews>
  <sheets>
    <sheet name="PROIECT BUGET 2025" sheetId="32" r:id="rId1"/>
  </sheets>
  <definedNames>
    <definedName name="_xlnm._FilterDatabase" localSheetId="0" hidden="1">'PROIECT BUGET 2025'!$B$12:$M$586</definedName>
    <definedName name="_xlnm.Print_Titles" localSheetId="0">'PROIECT BUGET 2025'!$9:$9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8" i="32" l="1"/>
  <c r="M193" i="32"/>
  <c r="M348" i="32"/>
  <c r="M366" i="32"/>
  <c r="M418" i="32"/>
  <c r="M477" i="32"/>
  <c r="M522" i="32"/>
  <c r="M545" i="32"/>
  <c r="M555" i="32"/>
  <c r="M585" i="32"/>
  <c r="M439" i="32"/>
  <c r="M395" i="32"/>
  <c r="K395" i="32"/>
  <c r="J395" i="32"/>
  <c r="M390" i="32"/>
  <c r="J390" i="32"/>
  <c r="K355" i="32"/>
  <c r="J355" i="32"/>
  <c r="J358" i="32" s="1"/>
  <c r="M464" i="32"/>
  <c r="K464" i="32"/>
  <c r="M357" i="32" l="1"/>
  <c r="K357" i="32"/>
  <c r="J357" i="32"/>
  <c r="K198" i="32"/>
  <c r="J198" i="32"/>
  <c r="M198" i="32"/>
  <c r="M152" i="32"/>
  <c r="M73" i="32"/>
  <c r="M74" i="32"/>
  <c r="M339" i="32" l="1"/>
  <c r="M272" i="32"/>
  <c r="M275" i="32"/>
  <c r="J354" i="32"/>
  <c r="M514" i="32"/>
  <c r="M472" i="32"/>
  <c r="K472" i="32"/>
  <c r="J472" i="32"/>
  <c r="M471" i="32"/>
  <c r="K471" i="32"/>
  <c r="J471" i="32"/>
  <c r="J456" i="32"/>
  <c r="M443" i="32"/>
  <c r="M469" i="32" s="1"/>
  <c r="K443" i="32"/>
  <c r="K469" i="32" s="1"/>
  <c r="J443" i="32"/>
  <c r="J469" i="32" s="1"/>
  <c r="L469" i="32" l="1"/>
  <c r="M517" i="32" l="1"/>
  <c r="M414" i="32"/>
  <c r="K516" i="32" l="1"/>
  <c r="M516" i="32"/>
  <c r="J516" i="32"/>
  <c r="M581" i="32" l="1"/>
  <c r="M361" i="32" l="1"/>
  <c r="M325" i="32"/>
  <c r="M340" i="32" s="1"/>
  <c r="K325" i="32"/>
  <c r="J325" i="32"/>
  <c r="J340" i="32" s="1"/>
  <c r="L273" i="32"/>
  <c r="L274" i="32"/>
  <c r="K272" i="32"/>
  <c r="J272" i="32"/>
  <c r="J336" i="32" s="1"/>
  <c r="M379" i="32"/>
  <c r="J464" i="32"/>
  <c r="M567" i="32"/>
  <c r="L560" i="32"/>
  <c r="L561" i="32"/>
  <c r="M559" i="32"/>
  <c r="M565" i="32" s="1"/>
  <c r="K559" i="32"/>
  <c r="J559" i="32"/>
  <c r="J565" i="32" s="1"/>
  <c r="M556" i="32"/>
  <c r="K556" i="32"/>
  <c r="J556" i="32"/>
  <c r="M580" i="32"/>
  <c r="M553" i="32"/>
  <c r="L559" i="32" l="1"/>
  <c r="L325" i="32"/>
  <c r="M336" i="32"/>
  <c r="L272" i="32"/>
  <c r="K336" i="32"/>
  <c r="L556" i="32"/>
  <c r="L464" i="32"/>
  <c r="K553" i="32"/>
  <c r="J553" i="32"/>
  <c r="K549" i="32"/>
  <c r="K552" i="32" s="1"/>
  <c r="L549" i="32"/>
  <c r="M549" i="32"/>
  <c r="J549" i="32"/>
  <c r="J552" i="32" s="1"/>
  <c r="K548" i="32"/>
  <c r="J548" i="32"/>
  <c r="L557" i="32"/>
  <c r="M554" i="32" l="1"/>
  <c r="L548" i="32"/>
  <c r="M552" i="32"/>
  <c r="L553" i="32"/>
  <c r="K554" i="32"/>
  <c r="K555" i="32" s="1"/>
  <c r="J554" i="32"/>
  <c r="J555" i="32" s="1"/>
  <c r="M523" i="32"/>
  <c r="M541" i="32" s="1"/>
  <c r="M575" i="32"/>
  <c r="L555" i="32" l="1"/>
  <c r="M290" i="32"/>
  <c r="M292" i="32"/>
  <c r="M251" i="32" l="1"/>
  <c r="M343" i="32"/>
  <c r="M297" i="32"/>
  <c r="M280" i="32"/>
  <c r="M329" i="32" l="1"/>
  <c r="M245" i="32" l="1"/>
  <c r="M335" i="32" l="1"/>
  <c r="M328" i="32"/>
  <c r="J329" i="32"/>
  <c r="M548" i="32" l="1"/>
  <c r="M136" i="32"/>
  <c r="M135" i="32" l="1"/>
  <c r="M413" i="32" l="1"/>
  <c r="M158" i="32" l="1"/>
  <c r="J135" i="32" l="1"/>
  <c r="J338" i="32"/>
  <c r="J337" i="32"/>
  <c r="J331" i="32"/>
  <c r="K335" i="32" l="1"/>
  <c r="J335" i="32"/>
  <c r="J525" i="32" l="1"/>
  <c r="L31" i="32" l="1"/>
  <c r="L26" i="32"/>
  <c r="L28" i="32"/>
  <c r="L29" i="32"/>
  <c r="L30" i="32"/>
  <c r="L25" i="32"/>
  <c r="L20" i="32"/>
  <c r="L21" i="32"/>
  <c r="L19" i="32"/>
  <c r="L18" i="32"/>
  <c r="J17" i="32"/>
  <c r="K17" i="32"/>
  <c r="L16" i="32"/>
  <c r="L17" i="32" l="1"/>
  <c r="M190" i="32" l="1"/>
  <c r="M186" i="32"/>
  <c r="M582" i="32"/>
  <c r="M578" i="32"/>
  <c r="M569" i="32"/>
  <c r="M579" i="32" s="1"/>
  <c r="M566" i="32"/>
  <c r="M577" i="32" s="1"/>
  <c r="M542" i="32"/>
  <c r="M540" i="32"/>
  <c r="M538" i="32"/>
  <c r="M534" i="32"/>
  <c r="M531" i="32"/>
  <c r="M525" i="32"/>
  <c r="M539" i="32" s="1"/>
  <c r="M524" i="32"/>
  <c r="M519" i="32"/>
  <c r="M518" i="32"/>
  <c r="M511" i="32"/>
  <c r="M494" i="32"/>
  <c r="M510" i="32" s="1"/>
  <c r="M491" i="32"/>
  <c r="M481" i="32"/>
  <c r="M515" i="32" s="1"/>
  <c r="M474" i="32"/>
  <c r="M473" i="32"/>
  <c r="M456" i="32"/>
  <c r="M452" i="32"/>
  <c r="M470" i="32" s="1"/>
  <c r="M449" i="32"/>
  <c r="M446" i="32"/>
  <c r="M466" i="32" s="1"/>
  <c r="M434" i="32"/>
  <c r="M415" i="32"/>
  <c r="M412" i="32"/>
  <c r="M411" i="32"/>
  <c r="M410" i="32"/>
  <c r="M409" i="32"/>
  <c r="M408" i="32"/>
  <c r="M406" i="32"/>
  <c r="M405" i="32"/>
  <c r="M404" i="32"/>
  <c r="M403" i="32"/>
  <c r="M402" i="32"/>
  <c r="M400" i="32"/>
  <c r="M399" i="32"/>
  <c r="M398" i="32"/>
  <c r="M384" i="32"/>
  <c r="M378" i="32"/>
  <c r="M370" i="32"/>
  <c r="M367" i="32"/>
  <c r="M363" i="32"/>
  <c r="M362" i="32"/>
  <c r="M360" i="32"/>
  <c r="M359" i="32"/>
  <c r="M354" i="32"/>
  <c r="M345" i="32"/>
  <c r="M344" i="32"/>
  <c r="M342" i="32"/>
  <c r="M338" i="32"/>
  <c r="M337" i="32"/>
  <c r="M334" i="32"/>
  <c r="M333" i="32"/>
  <c r="M332" i="32"/>
  <c r="M331" i="32"/>
  <c r="M330" i="32"/>
  <c r="M315" i="32"/>
  <c r="M310" i="32"/>
  <c r="M309" i="32"/>
  <c r="M307" i="32"/>
  <c r="M305" i="32"/>
  <c r="M288" i="32"/>
  <c r="M302" i="32" s="1"/>
  <c r="M341" i="32"/>
  <c r="M267" i="32"/>
  <c r="M259" i="32"/>
  <c r="M265" i="32" s="1"/>
  <c r="M241" i="32"/>
  <c r="M236" i="32"/>
  <c r="M234" i="32"/>
  <c r="M231" i="32"/>
  <c r="M229" i="32"/>
  <c r="M224" i="32"/>
  <c r="M197" i="32"/>
  <c r="M192" i="32"/>
  <c r="M183" i="32"/>
  <c r="M172" i="32"/>
  <c r="M169" i="32"/>
  <c r="M166" i="32"/>
  <c r="M164" i="32"/>
  <c r="M144" i="32"/>
  <c r="M128" i="32"/>
  <c r="M124" i="32"/>
  <c r="M117" i="32"/>
  <c r="M113" i="32"/>
  <c r="M108" i="32"/>
  <c r="M102" i="32"/>
  <c r="M99" i="32"/>
  <c r="M95" i="32"/>
  <c r="M91" i="32"/>
  <c r="M63" i="32"/>
  <c r="M60" i="32"/>
  <c r="M50" i="32"/>
  <c r="M45" i="32"/>
  <c r="M39" i="32"/>
  <c r="M38" i="32" s="1"/>
  <c r="M32" i="32"/>
  <c r="M27" i="32"/>
  <c r="M24" i="32"/>
  <c r="M17" i="32"/>
  <c r="M15" i="32"/>
  <c r="M520" i="32" l="1"/>
  <c r="M235" i="32"/>
  <c r="M238" i="32" s="1"/>
  <c r="M226" i="32"/>
  <c r="M521" i="32"/>
  <c r="M476" i="32"/>
  <c r="M465" i="32"/>
  <c r="M584" i="32"/>
  <c r="M583" i="32"/>
  <c r="M347" i="32"/>
  <c r="M407" i="32"/>
  <c r="M417" i="32" s="1"/>
  <c r="M123" i="32"/>
  <c r="M318" i="32"/>
  <c r="M191" i="32"/>
  <c r="M358" i="32"/>
  <c r="M364" i="32" s="1"/>
  <c r="M425" i="32"/>
  <c r="M431" i="32"/>
  <c r="M375" i="32"/>
  <c r="M397" i="32"/>
  <c r="M177" i="32"/>
  <c r="M286" i="32"/>
  <c r="M23" i="32"/>
  <c r="M12" i="32" s="1"/>
  <c r="M176" i="32"/>
  <c r="M463" i="32"/>
  <c r="M467" i="32"/>
  <c r="M544" i="32"/>
  <c r="M576" i="32"/>
  <c r="M365" i="32"/>
  <c r="M257" i="32"/>
  <c r="M346" i="32"/>
  <c r="M83" i="32"/>
  <c r="M401" i="32"/>
  <c r="M543" i="32"/>
  <c r="M462" i="32"/>
  <c r="M487" i="32"/>
  <c r="M507" i="32"/>
  <c r="M529" i="32"/>
  <c r="L459" i="32"/>
  <c r="M13" i="32" l="1"/>
  <c r="M475" i="32"/>
  <c r="M134" i="32"/>
  <c r="M396" i="32"/>
  <c r="M416" i="32" s="1"/>
  <c r="M232" i="32"/>
  <c r="M6" i="32" l="1"/>
  <c r="M237" i="32"/>
  <c r="M11" i="32"/>
  <c r="K224" i="32"/>
  <c r="K226" i="32" s="1"/>
  <c r="J224" i="32"/>
  <c r="J226" i="32" s="1"/>
  <c r="K567" i="32"/>
  <c r="K481" i="32"/>
  <c r="J481" i="32"/>
  <c r="J515" i="32" s="1"/>
  <c r="M133" i="32" l="1"/>
  <c r="M7" i="32" s="1"/>
  <c r="M239" i="32"/>
  <c r="M586" i="32" s="1"/>
  <c r="L481" i="32"/>
  <c r="J487" i="32"/>
  <c r="K487" i="32"/>
  <c r="K515" i="32"/>
  <c r="K436" i="32" l="1"/>
  <c r="K415" i="32"/>
  <c r="J415" i="32"/>
  <c r="K384" i="32"/>
  <c r="J384" i="32"/>
  <c r="L381" i="32"/>
  <c r="K367" i="32"/>
  <c r="J197" i="32" l="1"/>
  <c r="L300" i="32" l="1"/>
  <c r="K301" i="32"/>
  <c r="J330" i="32"/>
  <c r="K330" i="32"/>
  <c r="K329" i="32" s="1"/>
  <c r="L225" i="32"/>
  <c r="L575" i="32"/>
  <c r="L574" i="32"/>
  <c r="L573" i="32"/>
  <c r="L571" i="32"/>
  <c r="L570" i="32"/>
  <c r="L568" i="32"/>
  <c r="L564" i="32"/>
  <c r="L563" i="32"/>
  <c r="L562" i="32"/>
  <c r="L547" i="32"/>
  <c r="L554" i="32" s="1"/>
  <c r="L546" i="32"/>
  <c r="L537" i="32"/>
  <c r="L536" i="32"/>
  <c r="L535" i="32"/>
  <c r="L533" i="32"/>
  <c r="L532" i="32"/>
  <c r="L528" i="32"/>
  <c r="L527" i="32"/>
  <c r="L526" i="32"/>
  <c r="L505" i="32"/>
  <c r="L504" i="32"/>
  <c r="L502" i="32"/>
  <c r="L501" i="32"/>
  <c r="L500" i="32"/>
  <c r="L499" i="32"/>
  <c r="L498" i="32"/>
  <c r="L497" i="32"/>
  <c r="L496" i="32"/>
  <c r="L495" i="32"/>
  <c r="L493" i="32"/>
  <c r="L490" i="32"/>
  <c r="L489" i="32"/>
  <c r="L488" i="32"/>
  <c r="L486" i="32"/>
  <c r="L485" i="32"/>
  <c r="L484" i="32"/>
  <c r="L483" i="32"/>
  <c r="L482" i="32"/>
  <c r="L480" i="32"/>
  <c r="L478" i="32"/>
  <c r="L461" i="32"/>
  <c r="L460" i="32"/>
  <c r="L455" i="32"/>
  <c r="L454" i="32"/>
  <c r="L453" i="32"/>
  <c r="L451" i="32"/>
  <c r="L450" i="32"/>
  <c r="L448" i="32"/>
  <c r="L447" i="32"/>
  <c r="L442" i="32"/>
  <c r="L438" i="32"/>
  <c r="L437" i="32"/>
  <c r="L436" i="32"/>
  <c r="L433" i="32"/>
  <c r="L432" i="32"/>
  <c r="L430" i="32"/>
  <c r="L429" i="32"/>
  <c r="L428" i="32"/>
  <c r="L424" i="32"/>
  <c r="L423" i="32"/>
  <c r="L422" i="32"/>
  <c r="L415" i="32"/>
  <c r="L394" i="32"/>
  <c r="L393" i="32"/>
  <c r="L392" i="32"/>
  <c r="L391" i="32"/>
  <c r="L389" i="32"/>
  <c r="L388" i="32"/>
  <c r="L387" i="32"/>
  <c r="L386" i="32"/>
  <c r="L382" i="32"/>
  <c r="L379" i="32"/>
  <c r="L377" i="32"/>
  <c r="L376" i="32"/>
  <c r="L374" i="32"/>
  <c r="L373" i="32"/>
  <c r="L372" i="32"/>
  <c r="L371" i="32"/>
  <c r="L369" i="32"/>
  <c r="L368" i="32"/>
  <c r="L356" i="32"/>
  <c r="L355" i="32"/>
  <c r="L353" i="32"/>
  <c r="L352" i="32"/>
  <c r="L351" i="32"/>
  <c r="L327" i="32"/>
  <c r="L326" i="32"/>
  <c r="L322" i="32"/>
  <c r="L317" i="32"/>
  <c r="L316" i="32"/>
  <c r="L314" i="32"/>
  <c r="L313" i="32"/>
  <c r="L312" i="32"/>
  <c r="L311" i="32"/>
  <c r="L308" i="32"/>
  <c r="L306" i="32"/>
  <c r="L304" i="32"/>
  <c r="L303" i="32"/>
  <c r="L299" i="32"/>
  <c r="L298" i="32"/>
  <c r="L296" i="32"/>
  <c r="L295" i="32"/>
  <c r="L294" i="32"/>
  <c r="L293" i="32"/>
  <c r="L292" i="32"/>
  <c r="L291" i="32"/>
  <c r="L290" i="32"/>
  <c r="L289" i="32"/>
  <c r="L287" i="32"/>
  <c r="L285" i="32"/>
  <c r="L284" i="32"/>
  <c r="L283" i="32"/>
  <c r="L281" i="32"/>
  <c r="L279" i="32"/>
  <c r="L278" i="32"/>
  <c r="L277" i="32"/>
  <c r="L276" i="32"/>
  <c r="L271" i="32"/>
  <c r="L270" i="32"/>
  <c r="L269" i="32"/>
  <c r="L268" i="32"/>
  <c r="L266" i="32"/>
  <c r="L263" i="32"/>
  <c r="L261" i="32"/>
  <c r="L260" i="32"/>
  <c r="L258" i="32"/>
  <c r="L255" i="32"/>
  <c r="L254" i="32"/>
  <c r="L252" i="32"/>
  <c r="L250" i="32"/>
  <c r="L249" i="32"/>
  <c r="L248" i="32"/>
  <c r="L246" i="32"/>
  <c r="L245" i="32"/>
  <c r="L244" i="32"/>
  <c r="L243" i="32"/>
  <c r="L242" i="32"/>
  <c r="L240" i="32"/>
  <c r="J229" i="32"/>
  <c r="L228" i="32"/>
  <c r="L227" i="32"/>
  <c r="J206" i="32"/>
  <c r="L220" i="32"/>
  <c r="L221" i="32"/>
  <c r="L222" i="32"/>
  <c r="L216" i="32"/>
  <c r="L215" i="32"/>
  <c r="L208" i="32"/>
  <c r="L205" i="32"/>
  <c r="L207" i="32"/>
  <c r="L209" i="32"/>
  <c r="L210" i="32"/>
  <c r="L211" i="32"/>
  <c r="L212" i="32"/>
  <c r="L213" i="32"/>
  <c r="L214" i="32"/>
  <c r="L223" i="32"/>
  <c r="K232" i="32"/>
  <c r="L201" i="32"/>
  <c r="L202" i="32"/>
  <c r="L200" i="32"/>
  <c r="L203" i="32"/>
  <c r="L204" i="32"/>
  <c r="L199" i="32"/>
  <c r="L196" i="32"/>
  <c r="L194" i="32"/>
  <c r="L185" i="32"/>
  <c r="L184" i="32"/>
  <c r="L136" i="32"/>
  <c r="L137" i="32"/>
  <c r="L138" i="32"/>
  <c r="L139" i="32"/>
  <c r="L140" i="32"/>
  <c r="L141" i="32"/>
  <c r="L142" i="32"/>
  <c r="L143" i="32"/>
  <c r="L145" i="32"/>
  <c r="L146" i="32"/>
  <c r="L147" i="32"/>
  <c r="L148" i="32"/>
  <c r="L149" i="32"/>
  <c r="L150" i="32"/>
  <c r="L151" i="32"/>
  <c r="L152" i="32"/>
  <c r="L153" i="32"/>
  <c r="L154" i="32"/>
  <c r="L155" i="32"/>
  <c r="L156" i="32"/>
  <c r="L157" i="32"/>
  <c r="L158" i="32"/>
  <c r="L159" i="32"/>
  <c r="L160" i="32"/>
  <c r="L161" i="32"/>
  <c r="L162" i="32"/>
  <c r="L163" i="32"/>
  <c r="L165" i="32"/>
  <c r="L167" i="32"/>
  <c r="L168" i="32"/>
  <c r="L170" i="32"/>
  <c r="L171" i="32"/>
  <c r="L173" i="32"/>
  <c r="L174" i="32"/>
  <c r="L175" i="32"/>
  <c r="J172" i="32"/>
  <c r="J169" i="32"/>
  <c r="J166" i="32"/>
  <c r="J164" i="32"/>
  <c r="J144" i="32"/>
  <c r="J128" i="32"/>
  <c r="J124" i="32"/>
  <c r="J117" i="32"/>
  <c r="J113" i="32"/>
  <c r="J108" i="32"/>
  <c r="J102" i="32"/>
  <c r="J99" i="32"/>
  <c r="J95" i="32"/>
  <c r="J91" i="32"/>
  <c r="J63" i="32"/>
  <c r="J60" i="32"/>
  <c r="J50" i="32"/>
  <c r="J45" i="32"/>
  <c r="J39" i="32"/>
  <c r="J38" i="32" s="1"/>
  <c r="J32" i="32"/>
  <c r="J27" i="32"/>
  <c r="J24" i="32"/>
  <c r="J15" i="32"/>
  <c r="K582" i="32"/>
  <c r="K581" i="32"/>
  <c r="K580" i="32"/>
  <c r="K578" i="32"/>
  <c r="K569" i="32"/>
  <c r="K566" i="32"/>
  <c r="K565" i="32"/>
  <c r="K542" i="32"/>
  <c r="K541" i="32"/>
  <c r="K540" i="32"/>
  <c r="K538" i="32"/>
  <c r="K534" i="32"/>
  <c r="K531" i="32"/>
  <c r="K525" i="32"/>
  <c r="K529" i="32" s="1"/>
  <c r="K524" i="32"/>
  <c r="K519" i="32"/>
  <c r="K518" i="32"/>
  <c r="K517" i="32"/>
  <c r="K514" i="32"/>
  <c r="K512" i="32"/>
  <c r="K511" i="32"/>
  <c r="K509" i="32"/>
  <c r="K508" i="32"/>
  <c r="K494" i="32"/>
  <c r="K491" i="32"/>
  <c r="K474" i="32"/>
  <c r="K473" i="32"/>
  <c r="K456" i="32"/>
  <c r="K452" i="32"/>
  <c r="K470" i="32" s="1"/>
  <c r="K449" i="32"/>
  <c r="K446" i="32"/>
  <c r="K466" i="32" s="1"/>
  <c r="K434" i="32"/>
  <c r="K414" i="32"/>
  <c r="K413" i="32"/>
  <c r="K412" i="32"/>
  <c r="K411" i="32"/>
  <c r="K410" i="32"/>
  <c r="K409" i="32"/>
  <c r="K408" i="32"/>
  <c r="K406" i="32"/>
  <c r="K405" i="32"/>
  <c r="K404" i="32"/>
  <c r="K403" i="32"/>
  <c r="K402" i="32"/>
  <c r="K400" i="32"/>
  <c r="K399" i="32"/>
  <c r="K398" i="32"/>
  <c r="L384" i="32"/>
  <c r="K378" i="32"/>
  <c r="K370" i="32"/>
  <c r="K363" i="32"/>
  <c r="K362" i="32"/>
  <c r="K361" i="32"/>
  <c r="K360" i="32"/>
  <c r="K359" i="32"/>
  <c r="K358" i="32"/>
  <c r="K354" i="32"/>
  <c r="K342" i="32"/>
  <c r="K343" i="32" s="1"/>
  <c r="K340" i="32"/>
  <c r="K339" i="32"/>
  <c r="K338" i="32"/>
  <c r="K334" i="32"/>
  <c r="K333" i="32"/>
  <c r="K332" i="32"/>
  <c r="K328" i="32"/>
  <c r="K315" i="32"/>
  <c r="K318" i="32" s="1"/>
  <c r="K310" i="32"/>
  <c r="K309" i="32"/>
  <c r="K307" i="32"/>
  <c r="K305" i="32"/>
  <c r="K297" i="32"/>
  <c r="K288" i="32"/>
  <c r="K280" i="32"/>
  <c r="K275" i="32"/>
  <c r="K341" i="32" s="1"/>
  <c r="K267" i="32"/>
  <c r="K259" i="32"/>
  <c r="K256" i="32"/>
  <c r="K344" i="32" s="1"/>
  <c r="K251" i="32"/>
  <c r="K241" i="32"/>
  <c r="K236" i="32"/>
  <c r="K234" i="32"/>
  <c r="K231" i="32"/>
  <c r="K229" i="32"/>
  <c r="K197" i="32"/>
  <c r="K192" i="32"/>
  <c r="K190" i="32"/>
  <c r="K191" i="32" s="1"/>
  <c r="K186" i="32"/>
  <c r="K183" i="32"/>
  <c r="K172" i="32"/>
  <c r="K169" i="32"/>
  <c r="K166" i="32"/>
  <c r="K164" i="32"/>
  <c r="K144" i="32"/>
  <c r="K135" i="32"/>
  <c r="K128" i="32"/>
  <c r="K124" i="32"/>
  <c r="L122" i="32"/>
  <c r="K117" i="32"/>
  <c r="K113" i="32"/>
  <c r="K102" i="32"/>
  <c r="K99" i="32"/>
  <c r="K95" i="32"/>
  <c r="K91" i="32"/>
  <c r="K71" i="32"/>
  <c r="K63" i="32" s="1"/>
  <c r="K60" i="32"/>
  <c r="K50" i="32"/>
  <c r="K45" i="32"/>
  <c r="K39" i="32"/>
  <c r="K38" i="32" s="1"/>
  <c r="K32" i="32"/>
  <c r="K27" i="32"/>
  <c r="K24" i="32"/>
  <c r="K15" i="32"/>
  <c r="K14" i="32"/>
  <c r="J310" i="32"/>
  <c r="K513" i="32" l="1"/>
  <c r="K364" i="32"/>
  <c r="L27" i="32"/>
  <c r="K476" i="32"/>
  <c r="K465" i="32"/>
  <c r="L24" i="32"/>
  <c r="J176" i="32"/>
  <c r="L135" i="32"/>
  <c r="L144" i="32"/>
  <c r="L172" i="32"/>
  <c r="L310" i="32"/>
  <c r="K507" i="32"/>
  <c r="K510" i="32"/>
  <c r="K520" i="32" s="1"/>
  <c r="J83" i="32"/>
  <c r="L166" i="32"/>
  <c r="K331" i="32"/>
  <c r="L229" i="32"/>
  <c r="K337" i="32"/>
  <c r="K345" i="32"/>
  <c r="K347" i="32" s="1"/>
  <c r="L63" i="32"/>
  <c r="L567" i="32"/>
  <c r="K431" i="32"/>
  <c r="L330" i="32"/>
  <c r="L217" i="32"/>
  <c r="L206" i="32"/>
  <c r="L164" i="32"/>
  <c r="L169" i="32"/>
  <c r="K193" i="32"/>
  <c r="K407" i="32"/>
  <c r="K417" i="32" s="1"/>
  <c r="K235" i="32"/>
  <c r="K238" i="32" s="1"/>
  <c r="K302" i="32"/>
  <c r="K521" i="32"/>
  <c r="J123" i="32"/>
  <c r="J13" i="32" s="1"/>
  <c r="J23" i="32"/>
  <c r="J12" i="32" s="1"/>
  <c r="K463" i="32"/>
  <c r="K579" i="32"/>
  <c r="K257" i="32"/>
  <c r="K265" i="32"/>
  <c r="L329" i="32"/>
  <c r="K375" i="32"/>
  <c r="K390" i="32"/>
  <c r="K467" i="32"/>
  <c r="K544" i="32"/>
  <c r="K178" i="32"/>
  <c r="K425" i="32"/>
  <c r="K123" i="32"/>
  <c r="K13" i="32" s="1"/>
  <c r="K176" i="32"/>
  <c r="K177" i="32"/>
  <c r="K23" i="32"/>
  <c r="K12" i="32" s="1"/>
  <c r="K83" i="32"/>
  <c r="K401" i="32"/>
  <c r="K576" i="32"/>
  <c r="K577" i="32"/>
  <c r="K237" i="32"/>
  <c r="K286" i="32"/>
  <c r="K462" i="32"/>
  <c r="K539" i="32"/>
  <c r="K366" i="32"/>
  <c r="K365" i="32"/>
  <c r="K397" i="32"/>
  <c r="K439" i="32"/>
  <c r="L198" i="32"/>
  <c r="K468" i="32" l="1"/>
  <c r="L23" i="32"/>
  <c r="L12" i="32"/>
  <c r="K239" i="32"/>
  <c r="K396" i="32"/>
  <c r="K475" i="32"/>
  <c r="L13" i="32"/>
  <c r="K584" i="32"/>
  <c r="K134" i="32" s="1"/>
  <c r="K346" i="32"/>
  <c r="K348" i="32"/>
  <c r="K477" i="32"/>
  <c r="K585" i="32"/>
  <c r="K583" i="32"/>
  <c r="K545" i="32"/>
  <c r="K543" i="32"/>
  <c r="K522" i="32"/>
  <c r="K11" i="32" l="1"/>
  <c r="K418" i="32"/>
  <c r="K586" i="32" s="1"/>
  <c r="K416" i="32"/>
  <c r="K133" i="32" s="1"/>
  <c r="J582" i="32"/>
  <c r="L582" i="32" s="1"/>
  <c r="J581" i="32"/>
  <c r="L581" i="32" s="1"/>
  <c r="J580" i="32"/>
  <c r="L580" i="32" s="1"/>
  <c r="J578" i="32"/>
  <c r="L578" i="32" s="1"/>
  <c r="I578" i="32"/>
  <c r="J569" i="32"/>
  <c r="L569" i="32" s="1"/>
  <c r="J566" i="32"/>
  <c r="L565" i="32"/>
  <c r="J542" i="32"/>
  <c r="I542" i="32"/>
  <c r="H542" i="32"/>
  <c r="J540" i="32"/>
  <c r="L540" i="32" s="1"/>
  <c r="J538" i="32"/>
  <c r="L538" i="32" s="1"/>
  <c r="J534" i="32"/>
  <c r="L534" i="32" s="1"/>
  <c r="L530" i="32"/>
  <c r="L525" i="32"/>
  <c r="J519" i="32"/>
  <c r="L519" i="32" s="1"/>
  <c r="I519" i="32"/>
  <c r="J518" i="32"/>
  <c r="L518" i="32" s="1"/>
  <c r="I518" i="32"/>
  <c r="J517" i="32"/>
  <c r="L517" i="32" s="1"/>
  <c r="L515" i="32"/>
  <c r="J514" i="32"/>
  <c r="L514" i="32" s="1"/>
  <c r="J512" i="32"/>
  <c r="L512" i="32" s="1"/>
  <c r="I512" i="32"/>
  <c r="J511" i="32"/>
  <c r="L511" i="32" s="1"/>
  <c r="J509" i="32"/>
  <c r="L509" i="32" s="1"/>
  <c r="J494" i="32"/>
  <c r="L494" i="32" s="1"/>
  <c r="L492" i="32"/>
  <c r="J491" i="32"/>
  <c r="L491" i="32" s="1"/>
  <c r="L487" i="32"/>
  <c r="J474" i="32"/>
  <c r="L474" i="32" s="1"/>
  <c r="J473" i="32"/>
  <c r="L473" i="32" s="1"/>
  <c r="J452" i="32"/>
  <c r="J449" i="32"/>
  <c r="J446" i="32"/>
  <c r="L446" i="32" s="1"/>
  <c r="L440" i="32"/>
  <c r="J434" i="32"/>
  <c r="L434" i="32" s="1"/>
  <c r="L427" i="32"/>
  <c r="L426" i="32"/>
  <c r="L421" i="32"/>
  <c r="L420" i="32"/>
  <c r="L419" i="32"/>
  <c r="J414" i="32"/>
  <c r="L414" i="32" s="1"/>
  <c r="J413" i="32"/>
  <c r="L413" i="32" s="1"/>
  <c r="I413" i="32"/>
  <c r="J412" i="32"/>
  <c r="L412" i="32" s="1"/>
  <c r="J411" i="32"/>
  <c r="J410" i="32"/>
  <c r="L410" i="32" s="1"/>
  <c r="J409" i="32"/>
  <c r="L409" i="32" s="1"/>
  <c r="I409" i="32"/>
  <c r="J408" i="32"/>
  <c r="L408" i="32" s="1"/>
  <c r="I408" i="32"/>
  <c r="J406" i="32"/>
  <c r="L406" i="32" s="1"/>
  <c r="J405" i="32"/>
  <c r="L405" i="32" s="1"/>
  <c r="J404" i="32"/>
  <c r="L404" i="32" s="1"/>
  <c r="J403" i="32"/>
  <c r="L403" i="32" s="1"/>
  <c r="I403" i="32"/>
  <c r="J402" i="32"/>
  <c r="L402" i="32" s="1"/>
  <c r="I402" i="32"/>
  <c r="J400" i="32"/>
  <c r="L400" i="32" s="1"/>
  <c r="I400" i="32"/>
  <c r="J399" i="32"/>
  <c r="L399" i="32" s="1"/>
  <c r="J398" i="32"/>
  <c r="L398" i="32" s="1"/>
  <c r="I398" i="32"/>
  <c r="I397" i="32"/>
  <c r="L395" i="32"/>
  <c r="J378" i="32"/>
  <c r="L378" i="32" s="1"/>
  <c r="J370" i="32"/>
  <c r="L370" i="32" s="1"/>
  <c r="J367" i="32"/>
  <c r="L367" i="32" s="1"/>
  <c r="J363" i="32"/>
  <c r="L363" i="32" s="1"/>
  <c r="I363" i="32"/>
  <c r="H363" i="32"/>
  <c r="J362" i="32"/>
  <c r="L362" i="32" s="1"/>
  <c r="J361" i="32"/>
  <c r="L357" i="32"/>
  <c r="L349" i="32"/>
  <c r="J345" i="32"/>
  <c r="J344" i="32"/>
  <c r="L344" i="32" s="1"/>
  <c r="J343" i="32"/>
  <c r="L343" i="32" s="1"/>
  <c r="J342" i="32"/>
  <c r="L342" i="32" s="1"/>
  <c r="L340" i="32"/>
  <c r="J339" i="32"/>
  <c r="L338" i="32"/>
  <c r="I338" i="32"/>
  <c r="L335" i="32"/>
  <c r="J334" i="32"/>
  <c r="L334" i="32" s="1"/>
  <c r="J333" i="32"/>
  <c r="L333" i="32" s="1"/>
  <c r="J332" i="32"/>
  <c r="L332" i="32" s="1"/>
  <c r="L331" i="32"/>
  <c r="J328" i="32"/>
  <c r="L328" i="32" s="1"/>
  <c r="J315" i="32"/>
  <c r="J309" i="32"/>
  <c r="L309" i="32" s="1"/>
  <c r="J307" i="32"/>
  <c r="L307" i="32" s="1"/>
  <c r="J305" i="32"/>
  <c r="L305" i="32" s="1"/>
  <c r="J297" i="32"/>
  <c r="L297" i="32" s="1"/>
  <c r="J288" i="32"/>
  <c r="J280" i="32"/>
  <c r="L280" i="32" s="1"/>
  <c r="J275" i="32"/>
  <c r="J341" i="32" s="1"/>
  <c r="J267" i="32"/>
  <c r="L267" i="32" s="1"/>
  <c r="L262" i="32"/>
  <c r="J259" i="32"/>
  <c r="L259" i="32" s="1"/>
  <c r="J251" i="32"/>
  <c r="L251" i="32" s="1"/>
  <c r="J241" i="32"/>
  <c r="L241" i="32" s="1"/>
  <c r="J236" i="32"/>
  <c r="L236" i="32" s="1"/>
  <c r="J234" i="32"/>
  <c r="L234" i="32" s="1"/>
  <c r="J232" i="32"/>
  <c r="J231" i="32"/>
  <c r="L197" i="32"/>
  <c r="J192" i="32"/>
  <c r="L192" i="32" s="1"/>
  <c r="J190" i="32"/>
  <c r="J186" i="32"/>
  <c r="L186" i="32" s="1"/>
  <c r="J183" i="32"/>
  <c r="L232" i="32" l="1"/>
  <c r="L361" i="32"/>
  <c r="L358" i="32"/>
  <c r="L441" i="32"/>
  <c r="J465" i="32"/>
  <c r="L465" i="32" s="1"/>
  <c r="L449" i="32"/>
  <c r="J467" i="32"/>
  <c r="L467" i="32" s="1"/>
  <c r="L339" i="32"/>
  <c r="J347" i="32"/>
  <c r="L542" i="32"/>
  <c r="J470" i="32"/>
  <c r="J476" i="32" s="1"/>
  <c r="L452" i="32"/>
  <c r="J397" i="32"/>
  <c r="L385" i="32"/>
  <c r="J318" i="32"/>
  <c r="L318" i="32" s="1"/>
  <c r="L315" i="32"/>
  <c r="J235" i="32"/>
  <c r="L235" i="32" s="1"/>
  <c r="L224" i="32"/>
  <c r="J577" i="32"/>
  <c r="L577" i="32" s="1"/>
  <c r="L566" i="32"/>
  <c r="J302" i="32"/>
  <c r="L302" i="32" s="1"/>
  <c r="L288" i="32"/>
  <c r="L347" i="32"/>
  <c r="L275" i="32"/>
  <c r="L471" i="32"/>
  <c r="L456" i="32"/>
  <c r="J360" i="32"/>
  <c r="L360" i="32" s="1"/>
  <c r="L350" i="32"/>
  <c r="J265" i="32"/>
  <c r="L265" i="32" s="1"/>
  <c r="J191" i="32"/>
  <c r="L191" i="32" s="1"/>
  <c r="L190" i="32"/>
  <c r="J407" i="32"/>
  <c r="J237" i="32"/>
  <c r="L237" i="32" s="1"/>
  <c r="L176" i="32"/>
  <c r="J425" i="32"/>
  <c r="L425" i="32" s="1"/>
  <c r="J193" i="32"/>
  <c r="L193" i="32" s="1"/>
  <c r="J346" i="32"/>
  <c r="L346" i="32" s="1"/>
  <c r="J359" i="32"/>
  <c r="J364" i="32" s="1"/>
  <c r="J375" i="32"/>
  <c r="L375" i="32" s="1"/>
  <c r="J539" i="32"/>
  <c r="L539" i="32" s="1"/>
  <c r="J529" i="32"/>
  <c r="L529" i="32" s="1"/>
  <c r="J431" i="32"/>
  <c r="L431" i="32" s="1"/>
  <c r="J257" i="32"/>
  <c r="L257" i="32" s="1"/>
  <c r="J286" i="32"/>
  <c r="L286" i="32" s="1"/>
  <c r="J177" i="32"/>
  <c r="L177" i="32" s="1"/>
  <c r="J178" i="32"/>
  <c r="L178" i="32" s="1"/>
  <c r="L226" i="32"/>
  <c r="L354" i="32"/>
  <c r="J401" i="32"/>
  <c r="L401" i="32" s="1"/>
  <c r="L390" i="32"/>
  <c r="J507" i="32"/>
  <c r="L507" i="32" s="1"/>
  <c r="J508" i="32"/>
  <c r="J510" i="32"/>
  <c r="J466" i="32"/>
  <c r="L466" i="32" s="1"/>
  <c r="J524" i="32"/>
  <c r="J541" i="32"/>
  <c r="J462" i="32"/>
  <c r="L462" i="32" s="1"/>
  <c r="J521" i="32"/>
  <c r="L521" i="32" s="1"/>
  <c r="J579" i="32"/>
  <c r="J576" i="32"/>
  <c r="L576" i="32" s="1"/>
  <c r="J531" i="32"/>
  <c r="L531" i="32" s="1"/>
  <c r="L510" i="32" l="1"/>
  <c r="L508" i="32"/>
  <c r="J513" i="32"/>
  <c r="L513" i="32" s="1"/>
  <c r="J239" i="32"/>
  <c r="L239" i="32" s="1"/>
  <c r="L359" i="32"/>
  <c r="L364" i="32"/>
  <c r="J365" i="32"/>
  <c r="L365" i="32" s="1"/>
  <c r="L435" i="32"/>
  <c r="J439" i="32"/>
  <c r="L439" i="32" s="1"/>
  <c r="L470" i="32"/>
  <c r="L476" i="32"/>
  <c r="J238" i="32"/>
  <c r="L238" i="32" s="1"/>
  <c r="J463" i="32"/>
  <c r="J468" i="32" s="1"/>
  <c r="J544" i="32"/>
  <c r="L544" i="32" s="1"/>
  <c r="L541" i="32"/>
  <c r="L579" i="32"/>
  <c r="L341" i="32"/>
  <c r="J348" i="32"/>
  <c r="L348" i="32" s="1"/>
  <c r="L337" i="32"/>
  <c r="J583" i="32"/>
  <c r="L583" i="32" s="1"/>
  <c r="J396" i="32"/>
  <c r="L396" i="32" s="1"/>
  <c r="L397" i="32"/>
  <c r="J417" i="32"/>
  <c r="L407" i="32"/>
  <c r="J585" i="32"/>
  <c r="L585" i="32" s="1"/>
  <c r="J584" i="32"/>
  <c r="J545" i="32"/>
  <c r="L545" i="32" s="1"/>
  <c r="J543" i="32"/>
  <c r="J366" i="32"/>
  <c r="L366" i="32" s="1"/>
  <c r="J11" i="32"/>
  <c r="L11" i="32" s="1"/>
  <c r="J522" i="32" l="1"/>
  <c r="L522" i="32" s="1"/>
  <c r="J520" i="32"/>
  <c r="L520" i="32" s="1"/>
  <c r="J475" i="32"/>
  <c r="L475" i="32" s="1"/>
  <c r="L468" i="32"/>
  <c r="J477" i="32"/>
  <c r="L477" i="32" s="1"/>
  <c r="L463" i="32"/>
  <c r="L417" i="32"/>
  <c r="J134" i="32"/>
  <c r="L134" i="32" s="1"/>
  <c r="L543" i="32"/>
  <c r="J418" i="32"/>
  <c r="L418" i="32" s="1"/>
  <c r="J416" i="32"/>
  <c r="L584" i="32"/>
  <c r="L416" i="32" l="1"/>
  <c r="J133" i="32"/>
  <c r="L133" i="32" s="1"/>
  <c r="J586" i="32"/>
  <c r="L586" i="32" l="1"/>
</calcChain>
</file>

<file path=xl/comments1.xml><?xml version="1.0" encoding="utf-8"?>
<comments xmlns="http://schemas.openxmlformats.org/spreadsheetml/2006/main">
  <authors>
    <author>Ioana Otilia Pelin</author>
    <author>Ion Alina Alexandra</author>
  </authors>
  <commentList>
    <comment ref="H47" authorId="0" shapeId="0">
      <text>
        <r>
          <rPr>
            <b/>
            <sz val="9"/>
            <color indexed="81"/>
            <rFont val="Tahoma"/>
            <charset val="1"/>
          </rPr>
          <t>Ioana Otilia Pelin:</t>
        </r>
        <r>
          <rPr>
            <sz val="9"/>
            <color indexed="81"/>
            <rFont val="Tahoma"/>
            <charset val="1"/>
          </rPr>
          <t xml:space="preserve">
fundamentare patrimoniu
</t>
        </r>
      </text>
    </comment>
    <comment ref="M185" authorId="1" shapeId="0">
      <text>
        <r>
          <rPr>
            <b/>
            <sz val="9"/>
            <color indexed="81"/>
            <rFont val="Segoe UI"/>
            <family val="2"/>
            <charset val="238"/>
          </rPr>
          <t>Popescu Alina Alexandra:</t>
        </r>
        <r>
          <rPr>
            <sz val="9"/>
            <color indexed="81"/>
            <rFont val="Segoe UI"/>
            <family val="2"/>
            <charset val="238"/>
          </rPr>
          <t xml:space="preserve">
de discutat valoarea necesara pentru sectiunea de dezvoltare</t>
        </r>
      </text>
    </comment>
    <comment ref="M425" authorId="1" shapeId="0">
      <text>
        <r>
          <rPr>
            <b/>
            <sz val="9"/>
            <color indexed="81"/>
            <rFont val="Segoe UI"/>
            <family val="2"/>
            <charset val="238"/>
          </rPr>
          <t>Popescu  Alina Alexandra:</t>
        </r>
        <r>
          <rPr>
            <sz val="9"/>
            <color indexed="81"/>
            <rFont val="Segoe UI"/>
            <family val="2"/>
            <charset val="238"/>
          </rPr>
          <t xml:space="preserve">
plati restante 144,89 mii lei / executie + restante =2655,07 mii lei </t>
        </r>
      </text>
    </comment>
  </commentList>
</comments>
</file>

<file path=xl/sharedStrings.xml><?xml version="1.0" encoding="utf-8"?>
<sst xmlns="http://schemas.openxmlformats.org/spreadsheetml/2006/main" count="3263" uniqueCount="615">
  <si>
    <t xml:space="preserve"> </t>
  </si>
  <si>
    <t>Tip Indicator</t>
  </si>
  <si>
    <t xml:space="preserve"> Venit</t>
  </si>
  <si>
    <t>A-Integral de la buget</t>
  </si>
  <si>
    <t>010100</t>
  </si>
  <si>
    <t>Impozit pe profit de la agentii economici</t>
  </si>
  <si>
    <t>031800</t>
  </si>
  <si>
    <t>Impozitul pe veniturile din transferul proprietatilor imobiliare din patrimoniul personal</t>
  </si>
  <si>
    <t>040100</t>
  </si>
  <si>
    <t>Cote defalcate din impozitul pe venit(se scad)</t>
  </si>
  <si>
    <t>040500</t>
  </si>
  <si>
    <t>Sume repartizate din Fondul la dispozitia Consiliului Judetean</t>
  </si>
  <si>
    <t>040600</t>
  </si>
  <si>
    <t>Sume repartizate pentru finantarea institutiilor de spectacole si concerte</t>
  </si>
  <si>
    <t>055000</t>
  </si>
  <si>
    <t>070101</t>
  </si>
  <si>
    <t>Impozit pe cladiri de la persoane fizice</t>
  </si>
  <si>
    <t>070102</t>
  </si>
  <si>
    <t>Impozit si taxa pe cladiri de la persoane juridice</t>
  </si>
  <si>
    <t>070201</t>
  </si>
  <si>
    <t>Impozit pe terenuri de la persoane fizice</t>
  </si>
  <si>
    <t>070202</t>
  </si>
  <si>
    <t>Impozit si taxa pe teren de la persoane juridice</t>
  </si>
  <si>
    <t>070203</t>
  </si>
  <si>
    <t>Impozit pe terenul din extravilan</t>
  </si>
  <si>
    <t>070300</t>
  </si>
  <si>
    <t xml:space="preserve">Taxe judiciare de timbru si alte taxe de timbru  </t>
  </si>
  <si>
    <t>110200</t>
  </si>
  <si>
    <t>Sume defalcate din taxa pe valoarea adaugata pentru finantarea cheltuielilor descentralizate la nivelul comunelor, oraselor, municipiilor, sectoarelor si Municipiului Bucuresti (se scad)</t>
  </si>
  <si>
    <t>110600</t>
  </si>
  <si>
    <t>Sume defalcate din taxa pe valoarea adaugata  pentru  echilibrarea bugetelor locale (se scad)</t>
  </si>
  <si>
    <t>110900</t>
  </si>
  <si>
    <t xml:space="preserve">Sume defalcate din taxa pe valoarea adaugata pentru finantarea invatamantului particular si a celui confesional </t>
  </si>
  <si>
    <t>120700</t>
  </si>
  <si>
    <t>Taxe hoteliere</t>
  </si>
  <si>
    <t>150100</t>
  </si>
  <si>
    <t>Impozit pe spectacole</t>
  </si>
  <si>
    <t>160201</t>
  </si>
  <si>
    <t>Impozit pe mijloacele de transport detinute de persoane fizice</t>
  </si>
  <si>
    <t>160202</t>
  </si>
  <si>
    <t>Impozit pe mijloacele de transport detinute de persoane juridice</t>
  </si>
  <si>
    <t>160300</t>
  </si>
  <si>
    <t>Taxe si tarife pentru eliberarea de licente si autorizatii de functionare</t>
  </si>
  <si>
    <t>165000</t>
  </si>
  <si>
    <t>Alte taxe pe utilizarea bunurilor, autorizarea utilizarii bunurilor sau pe desfasurare de activitati</t>
  </si>
  <si>
    <t>185000</t>
  </si>
  <si>
    <t>Alte impozite si taxe</t>
  </si>
  <si>
    <t>300100</t>
  </si>
  <si>
    <t>Varsaminte din profitul net al regiilor autonome</t>
  </si>
  <si>
    <t>300530</t>
  </si>
  <si>
    <t>Alte venituri din concesiuni si inchirieri de catre institutiile publice</t>
  </si>
  <si>
    <t>Venituri din dividende de la alti platitori</t>
  </si>
  <si>
    <t>310300</t>
  </si>
  <si>
    <t>Alte venituri din dobanzi</t>
  </si>
  <si>
    <t>330800</t>
  </si>
  <si>
    <t>Venituri din prestari de servicii</t>
  </si>
  <si>
    <t>331000</t>
  </si>
  <si>
    <t>Contributia  parintilor sau sustinatorilor legali pentru intretinerea copiilor in crese</t>
  </si>
  <si>
    <t>331200</t>
  </si>
  <si>
    <t>Contributia  persoanelor beneficiare ale  cantinelor de ajutor social</t>
  </si>
  <si>
    <t>331300</t>
  </si>
  <si>
    <t>Contributia  de intretinere a persoanelor asistate</t>
  </si>
  <si>
    <t>Venituri din recuperarea cheltuielilor de judecata, imputatii si despagubiri</t>
  </si>
  <si>
    <t>Alte venituri din prestari de servicii si alte activitati</t>
  </si>
  <si>
    <t>345000</t>
  </si>
  <si>
    <t>Alte venituri din taxe administrative, eliberari permise</t>
  </si>
  <si>
    <t>350102</t>
  </si>
  <si>
    <t>Venituri din amenzi si alte sanctiuni aplicate de catre alte institutii de specialitate</t>
  </si>
  <si>
    <t>360101</t>
  </si>
  <si>
    <t>Venituri din aplicarea prescriptiei extinctive</t>
  </si>
  <si>
    <t>360600</t>
  </si>
  <si>
    <t>Taxe speciale</t>
  </si>
  <si>
    <t>361400</t>
  </si>
  <si>
    <t>Venituri din recuperarea cheltuielilor efectuate in cursul procesului de executare silita</t>
  </si>
  <si>
    <t>362300</t>
  </si>
  <si>
    <t>Taxa de reabilitare termica</t>
  </si>
  <si>
    <t>363100</t>
  </si>
  <si>
    <t>Contributia asociatiei de proprietari pentru lucrarile de reabilitare termica</t>
  </si>
  <si>
    <t>365000</t>
  </si>
  <si>
    <t>Alte venituri</t>
  </si>
  <si>
    <t>370100</t>
  </si>
  <si>
    <t>Donatii si sponsorizari</t>
  </si>
  <si>
    <t>370300</t>
  </si>
  <si>
    <t>370400</t>
  </si>
  <si>
    <t>Varsaminte din sectiunea de functionare</t>
  </si>
  <si>
    <t>370500</t>
  </si>
  <si>
    <t>Sume  primite din Fondul de Solidaritate al Uniunii Europene</t>
  </si>
  <si>
    <t>390100</t>
  </si>
  <si>
    <t>Venituri din valorificarea unor bunuri ale institutiilor publice</t>
  </si>
  <si>
    <t>390300</t>
  </si>
  <si>
    <t>Venituri din vanzarea locuintelor construite din fondurile statului</t>
  </si>
  <si>
    <t>390700</t>
  </si>
  <si>
    <t>Venituri din vanzarea unor bunuri apartinand domeniului privat al statului sau  al unitatilor administrativ-teritoriale</t>
  </si>
  <si>
    <t>Încasări din rambursarea altor împrumuturi acordate</t>
  </si>
  <si>
    <t>423400</t>
  </si>
  <si>
    <t>Subventii pentru acordarea ajutorului pentru incalzirea locuintei si a suplimentului pentru energie alocate pentru consumul de combustibili solizi si/sau petrolieri</t>
  </si>
  <si>
    <t>423500</t>
  </si>
  <si>
    <t>Subventii din bugetul de stat pentru finantarea unitatilor de asistenta medico-sociale</t>
  </si>
  <si>
    <t>424100</t>
  </si>
  <si>
    <t>426600</t>
  </si>
  <si>
    <t>426900</t>
  </si>
  <si>
    <t>Subvenții de la bugetul de stat către bugetele locale pentru programul național de investiții Anghel Saligny</t>
  </si>
  <si>
    <t>428801</t>
  </si>
  <si>
    <t>Fonduri europene nerambursabile</t>
  </si>
  <si>
    <t>428802</t>
  </si>
  <si>
    <t>Finanțare publică națională</t>
  </si>
  <si>
    <t>428803</t>
  </si>
  <si>
    <t>Sume aferente TVA</t>
  </si>
  <si>
    <t>428901</t>
  </si>
  <si>
    <t>Fonduri din imprumut rambursabile</t>
  </si>
  <si>
    <t>428902</t>
  </si>
  <si>
    <t>428903</t>
  </si>
  <si>
    <t>432000</t>
  </si>
  <si>
    <t>Alte subventii primite de la administratia centrala pentru finantarea unor activitati</t>
  </si>
  <si>
    <t>433400</t>
  </si>
  <si>
    <t>434400</t>
  </si>
  <si>
    <t>Sume alocate din sumele obtinute in urma scoaterii la licitatie a certificatelor de emisii de gaze cu efect de sera pentru finantarea proiectelor de investitii</t>
  </si>
  <si>
    <t>Sume primite în contul plăților efectuate în anul curent</t>
  </si>
  <si>
    <t>460400</t>
  </si>
  <si>
    <t>Alte sume primite din fonduri de la Uniunea Europeana pentru programele operationale finantate din cadrul financiar 2014-2020</t>
  </si>
  <si>
    <t>480101</t>
  </si>
  <si>
    <t>Sume primite in contul platilor efectuate in anul curent</t>
  </si>
  <si>
    <t>480102</t>
  </si>
  <si>
    <t>Sume primite in contul platilor efectuate in anii anteriori</t>
  </si>
  <si>
    <t>480103</t>
  </si>
  <si>
    <t>Prefinantare</t>
  </si>
  <si>
    <t>480201</t>
  </si>
  <si>
    <t>480202</t>
  </si>
  <si>
    <t>480203</t>
  </si>
  <si>
    <t>Alte amenzi, penalitati si confiscari</t>
  </si>
  <si>
    <t>CHELTUIELI</t>
  </si>
  <si>
    <t xml:space="preserve"> Cheltuiala</t>
  </si>
  <si>
    <t>510103</t>
  </si>
  <si>
    <t>Autoritati executive</t>
  </si>
  <si>
    <t>100101</t>
  </si>
  <si>
    <t>Salarii de baza</t>
  </si>
  <si>
    <t>Alte sporuri</t>
  </si>
  <si>
    <t>100112</t>
  </si>
  <si>
    <t>Indemnizatii platite unor persoane din afara unitatii</t>
  </si>
  <si>
    <t>100113</t>
  </si>
  <si>
    <t>Drepturi de delegare</t>
  </si>
  <si>
    <t>100117</t>
  </si>
  <si>
    <t>Indemnizatii de hrana</t>
  </si>
  <si>
    <t>100130</t>
  </si>
  <si>
    <t>Alte drepturi salariale in bani</t>
  </si>
  <si>
    <t>100206</t>
  </si>
  <si>
    <t>Vouchere de vacanta</t>
  </si>
  <si>
    <t>100307</t>
  </si>
  <si>
    <t>Contributia asiguratorie pentru munca</t>
  </si>
  <si>
    <t>Bunuri si servicii</t>
  </si>
  <si>
    <t>Ajutoare sociale in numerar</t>
  </si>
  <si>
    <t>Finantarea nationala</t>
  </si>
  <si>
    <t>Finantarea externa nerambursabila</t>
  </si>
  <si>
    <t>Asociatii si fundatii</t>
  </si>
  <si>
    <t>594000</t>
  </si>
  <si>
    <t>Sume aferente persoanelor cu handicap neincadrate</t>
  </si>
  <si>
    <t>710103</t>
  </si>
  <si>
    <t>Mobilier, aparatura birotica si alte active corporale</t>
  </si>
  <si>
    <t>710130</t>
  </si>
  <si>
    <t xml:space="preserve">Alte active fixe </t>
  </si>
  <si>
    <t>Fond de rezervă bugetară la dispoziția autorităților locale</t>
  </si>
  <si>
    <t>TOTAL CHELTUIELI FOND REZERVĂ BUGETARĂ LA DISPOZIȚIA AUTORITĂȚILOR LOCALE</t>
  </si>
  <si>
    <t>541000</t>
  </si>
  <si>
    <t>Servicii publice comunitare de evidenta a persoanelor</t>
  </si>
  <si>
    <t>Transferuri catre institutii publice</t>
  </si>
  <si>
    <t>TOTAL CHELTUIELI SERV PUBLICE COMUNITARE DE EVIDENȚĂ A PERSOANELOR</t>
  </si>
  <si>
    <t>Alte servicii publice generale</t>
  </si>
  <si>
    <t>Rambursari de credite aferente datoriei publice interne locale</t>
  </si>
  <si>
    <t>TOTAL CHELTUIELI ALTE SERVICII PUBLICE GENERALE</t>
  </si>
  <si>
    <t>550000</t>
  </si>
  <si>
    <t>Tranzactii privind datoria publica si imprumuturi</t>
  </si>
  <si>
    <t>Comisioane si alte costuri aferente imprumuturilor interne</t>
  </si>
  <si>
    <t>Dobânzi aferente creditelor interne garantate</t>
  </si>
  <si>
    <t>610304</t>
  </si>
  <si>
    <t xml:space="preserve">Politie locala </t>
  </si>
  <si>
    <t>100202</t>
  </si>
  <si>
    <t>Norme de hrana</t>
  </si>
  <si>
    <t>610500</t>
  </si>
  <si>
    <t xml:space="preserve">Protectie civila si protectie contra incendiilor </t>
  </si>
  <si>
    <t>Alte bunuri si servicii pentru intretinere si functionare</t>
  </si>
  <si>
    <t>TOTAL CHELTUIELI PROTECȚIE CIVILĂ ȘI PROTECȚIE ÎMPOTRIVA INCENDIILOR</t>
  </si>
  <si>
    <t>615000</t>
  </si>
  <si>
    <t>Alte cheltuieli in domeniul ordinii publice si sigurantei nationale</t>
  </si>
  <si>
    <t>200109</t>
  </si>
  <si>
    <t>Materiale si prestari de servicii cu caracter functional</t>
  </si>
  <si>
    <t>650301</t>
  </si>
  <si>
    <t>Invatamant prescolar</t>
  </si>
  <si>
    <t>Alocatii pentru transportul la si de la locul de munca</t>
  </si>
  <si>
    <t>550163</t>
  </si>
  <si>
    <t>Finantarea invatamantului particular sau confesional acreditat</t>
  </si>
  <si>
    <t>570201</t>
  </si>
  <si>
    <t xml:space="preserve"> Ajutoare sociale in numerar</t>
  </si>
  <si>
    <t>580101</t>
  </si>
  <si>
    <t>580102</t>
  </si>
  <si>
    <t>580103</t>
  </si>
  <si>
    <t>Cheltuieli neeligibile</t>
  </si>
  <si>
    <t>710300</t>
  </si>
  <si>
    <t>650302</t>
  </si>
  <si>
    <t>Invatamant primar</t>
  </si>
  <si>
    <t>TOTAL ÎNVĂȚĂMÂNT PRIMAR</t>
  </si>
  <si>
    <t>650401</t>
  </si>
  <si>
    <t>Invatamant secundar inferior</t>
  </si>
  <si>
    <t>610100</t>
  </si>
  <si>
    <t>Fonduri din imprumut rambursabil</t>
  </si>
  <si>
    <t>Finantare publica nationala</t>
  </si>
  <si>
    <t>610300</t>
  </si>
  <si>
    <t>TOTAL ÎNVĂȚĂMÂNT SECUNDAR INFERIOR</t>
  </si>
  <si>
    <t>Invatamant secundar superior</t>
  </si>
  <si>
    <t>650402</t>
  </si>
  <si>
    <t>710101</t>
  </si>
  <si>
    <t>TOTAL ÎNVĂȚĂMÂNT SECUNDAR SUPERIOR</t>
  </si>
  <si>
    <t>Invatamant profesional</t>
  </si>
  <si>
    <t>TOTAL ÎNVĂȚĂMÂNT PROFESIONAL</t>
  </si>
  <si>
    <t>Invatamant postliceal</t>
  </si>
  <si>
    <t>TOTAL ÎNVĂȚĂMÂNT POSTLICEAL</t>
  </si>
  <si>
    <t xml:space="preserve">Internate si cantine pentru elevi </t>
  </si>
  <si>
    <t>TOTAL INTERNATE ȘI CANTINE</t>
  </si>
  <si>
    <t>651300</t>
  </si>
  <si>
    <t>Invatamant anteprescolar</t>
  </si>
  <si>
    <t>TOTAL ÎNVĂȚĂMÂNT ANTEPREȘCOLAR</t>
  </si>
  <si>
    <t>655000</t>
  </si>
  <si>
    <t>Alte cheltuieli in domeniul invatamantului</t>
  </si>
  <si>
    <t>570203</t>
  </si>
  <si>
    <t>TOTAL ALTE CHELTUIELI ÎN DOMENIUL ÎNVĂȚĂMÂNTULUI</t>
  </si>
  <si>
    <t>660601</t>
  </si>
  <si>
    <t>Spitale generale</t>
  </si>
  <si>
    <t>510146</t>
  </si>
  <si>
    <t xml:space="preserve">Transferuri din bugetele locale pentru Finantarea cheltuielilor curente din domeniul sanatatii    </t>
  </si>
  <si>
    <t>510228</t>
  </si>
  <si>
    <t>Transferuri din bugetele locale pentru finantarea  cheltuielilor de capital din domeniul sanatatii</t>
  </si>
  <si>
    <t>600100</t>
  </si>
  <si>
    <t>600300</t>
  </si>
  <si>
    <t>TOTAL SPITALE GENERALE</t>
  </si>
  <si>
    <t>660800</t>
  </si>
  <si>
    <t>Servicii de sanatate publica</t>
  </si>
  <si>
    <t>TOTAL SERVICII DE SĂNĂTATE PUBLICĂ</t>
  </si>
  <si>
    <t>670304</t>
  </si>
  <si>
    <t>Institutii publice de spectacole si concerte</t>
  </si>
  <si>
    <t>510101</t>
  </si>
  <si>
    <t>510229</t>
  </si>
  <si>
    <t>TOTAL INSTITUȚII PUBLICE DE SPECTACOLE ȘI CONCERTE</t>
  </si>
  <si>
    <t>Case de cultura</t>
  </si>
  <si>
    <t>TOTAL CASE DE CULTURĂ</t>
  </si>
  <si>
    <t>670501</t>
  </si>
  <si>
    <t>Sport</t>
  </si>
  <si>
    <t>TOTAL SPORT</t>
  </si>
  <si>
    <t>670503</t>
  </si>
  <si>
    <t>Intretinere gradini publice, parcuri, zone verzi, baze sportive si de agrement</t>
  </si>
  <si>
    <t>TOTAL ÎNTREȚINERE GRĂDINI PUBLICE, PARCURI, ZONE VERZI, BAZE SPORTIVE ȘI DE AGREMENT</t>
  </si>
  <si>
    <t>Servicii religioase</t>
  </si>
  <si>
    <t>591200</t>
  </si>
  <si>
    <t>Sustinerea cultelor</t>
  </si>
  <si>
    <t>675000</t>
  </si>
  <si>
    <t>Alte servicii in domeniile culturii, recreerii si religiei</t>
  </si>
  <si>
    <t>Alte cheltuieli cu bunuri si servicii</t>
  </si>
  <si>
    <t>TOTAL SERVICII RELIGIOASE ȘI ALTE SERVICII ÎN DOMENIILE CULTURII, RECREERII ȘI RELIGIEI</t>
  </si>
  <si>
    <t>680400</t>
  </si>
  <si>
    <t>Asistenta acordata persoanelor in varsta</t>
  </si>
  <si>
    <t>TOTAL ASISTENȚĂ ACORDATĂ PERSOANELOR ÎN VÂRSTĂ</t>
  </si>
  <si>
    <t>680502</t>
  </si>
  <si>
    <t>Asistenta sociala  in  caz de invaliditate</t>
  </si>
  <si>
    <t>Poșta, telecomunicații , radio, tv</t>
  </si>
  <si>
    <t>Protecția muncii</t>
  </si>
  <si>
    <t>Despăgubiri civile</t>
  </si>
  <si>
    <t>TOTAL ASISTENȚĂ SOCIALĂ ÎN CAZ DE INVALIDITATE</t>
  </si>
  <si>
    <t>Unitati de asistenta medico-sociale</t>
  </si>
  <si>
    <t>TOTAL AJUTOARE PENTRU LOCUINȚE</t>
  </si>
  <si>
    <t>681502</t>
  </si>
  <si>
    <t>Cantine de ajutor social</t>
  </si>
  <si>
    <t>TOTAL CANTINE DE AJUTOR SOCIAL</t>
  </si>
  <si>
    <t>685050</t>
  </si>
  <si>
    <t>Alte cheltuieli in domeniul asigurarilor si asistentei sociale</t>
  </si>
  <si>
    <t>Ajutoare sociale in natură</t>
  </si>
  <si>
    <t>TOTAL ALTE CHELTUIELI ÎN DOMENIUL ASIGURĂRILOR ȘI ASISTENȚEI SOCIALE</t>
  </si>
  <si>
    <t>700330</t>
  </si>
  <si>
    <t>Alte cheltuieli in domeniul locuintelor</t>
  </si>
  <si>
    <t>TOTAL ALTE CHELTUIELI ÎN DOMENIUL LOCUINȚELOR</t>
  </si>
  <si>
    <t>700600</t>
  </si>
  <si>
    <t>Iluminat public si electrificari</t>
  </si>
  <si>
    <t>TOTAL ILUMINAT PUBLIC ȘI ELECTRIFICĂRI</t>
  </si>
  <si>
    <t>705000</t>
  </si>
  <si>
    <t>Alte servicii in domeniile locuintelor, serviciilor si dezvoltarii comunale</t>
  </si>
  <si>
    <t>Fonduri externe nerambursabile</t>
  </si>
  <si>
    <t>TOTAL ALTE SERVICII ÎN DOMENIILE LOCUINȚELOR, SERVICIILOR ȘI DEZVOLTĂRII COMUNALE</t>
  </si>
  <si>
    <t>740300</t>
  </si>
  <si>
    <t>Reducerea si controlul poluarii</t>
  </si>
  <si>
    <t>TOTAL REDUCEREA ȘI CONBTROLUL POLUĂRII</t>
  </si>
  <si>
    <t>740501</t>
  </si>
  <si>
    <t>Salubritate</t>
  </si>
  <si>
    <t>TOTAL SALUBRITATE</t>
  </si>
  <si>
    <t>740502</t>
  </si>
  <si>
    <t>Colectarea, tratarea si distrugerea deseurilor</t>
  </si>
  <si>
    <t>TOTAL COLECTAREA, TRATAREA ȘI DISTRUGEREA DEȘEURILOR</t>
  </si>
  <si>
    <t>740600</t>
  </si>
  <si>
    <t>Canalizarea si tratarea apelor reziduale</t>
  </si>
  <si>
    <t>TOTAL CANALIZAREA ȘI TRATAREA APELOR REZIDUALE</t>
  </si>
  <si>
    <t>TOTAL ALTE SERVICII ÎN DOMENIUL PROTECȚIEI MEDIULUI</t>
  </si>
  <si>
    <t>810600</t>
  </si>
  <si>
    <t>840302</t>
  </si>
  <si>
    <t>Transport in comun</t>
  </si>
  <si>
    <t>Subventii pentru acoperirea diferentelor de pret si tarif</t>
  </si>
  <si>
    <t>TOTAL TRANSPORT ÎN COMUN</t>
  </si>
  <si>
    <t>840303</t>
  </si>
  <si>
    <t xml:space="preserve">Strazi </t>
  </si>
  <si>
    <t>TOTAL STRĂZI</t>
  </si>
  <si>
    <t>Plati efectuate in anii precedenti si recuperate in anul curent in sectiunea de functionare a bugetului local</t>
  </si>
  <si>
    <t>Sursă finanțare</t>
  </si>
  <si>
    <t>Clasificație Functională</t>
  </si>
  <si>
    <t>Clasificație Funcțională Descriere</t>
  </si>
  <si>
    <t>Clasificație Economică</t>
  </si>
  <si>
    <t>Clasificație Economică Descriere</t>
  </si>
  <si>
    <t>Bunuri si servicii -TOTAL</t>
  </si>
  <si>
    <t>TOTAL ALTE CHELTUIELI ÎN DOMENIUL ORDINII PUBLICE ȘI SIGURANȚEI NAȚIONALE</t>
  </si>
  <si>
    <t>TOTAL CAPITOL 51 " CHELTUIELI AUTORITATI EXECUTIVE"</t>
  </si>
  <si>
    <t>TOTAL CAPITOL 54 "ALTE SERVICII PUBLICE GENERALE"</t>
  </si>
  <si>
    <t>TOTAL  CAPITOL 55 "CHELTUIELI TRANZACȚII PRIVIND DATORIA PUBLICĂ ȘI ÎMPRUMUTURI"</t>
  </si>
  <si>
    <t>TOTAL POLIȚIE LOCALĂ</t>
  </si>
  <si>
    <t>TOTAL CAPITOL 61 "ORDINE PUBLICĂ ȘI SIGURANȚĂ NAȚIONALĂ"</t>
  </si>
  <si>
    <t>TOTAL CAPITOL 65"ÎNVĂȚĂMÂNT"</t>
  </si>
  <si>
    <t>TOTAL CAPITOL 66 " SĂNĂTATE "</t>
  </si>
  <si>
    <t>TOTAL CAPITOL 67 "CULTURĂ, RECREERE ȘI RELIGIE"</t>
  </si>
  <si>
    <t>TOTAL CAPITOL 68 "ASIGURĂRI ȘI ASISTENȚĂ SOCIALĂ"</t>
  </si>
  <si>
    <t>TOTAL CAPITOL 70 " LOCUINȚE, SERVICII ȘI DEZVOLTARE PUBLICĂ "</t>
  </si>
  <si>
    <t>TOTAL  CAPITOL 74 "PROTECȚIA MEDIULUI"</t>
  </si>
  <si>
    <t>TOTAL CAPITOL 81"COMBUSTIBILI ȘI ENERGIE"</t>
  </si>
  <si>
    <t>TOTAL CAPITOL 84 "TRANSPORTURI"</t>
  </si>
  <si>
    <t>TOTAL ÎNVĂȚĂMÂNT PREȘCOLAR</t>
  </si>
  <si>
    <t>Furnituri de birou</t>
  </si>
  <si>
    <t>Materiale pentru curățenie</t>
  </si>
  <si>
    <t>Încălzit, iluminat și forță motrică</t>
  </si>
  <si>
    <t>Apă, canal și salubritate</t>
  </si>
  <si>
    <t xml:space="preserve">Carburanți, lubrifianți și combustibili </t>
  </si>
  <si>
    <t>Poștă, telecomunicații, radio, tv, internet</t>
  </si>
  <si>
    <t>Deplasări interne, detașări și transferări</t>
  </si>
  <si>
    <t>Deplasări în străinătate</t>
  </si>
  <si>
    <t>Cărți, publicații și materiale documentare</t>
  </si>
  <si>
    <t>Consultanță și expertiză</t>
  </si>
  <si>
    <t>Reclamă și publicitate</t>
  </si>
  <si>
    <t>Prime de asigurare non-viață</t>
  </si>
  <si>
    <t>Chirii</t>
  </si>
  <si>
    <t>Executarea silită a creanțelor bugetare</t>
  </si>
  <si>
    <t>Cheltuieli de personal - total</t>
  </si>
  <si>
    <t>Active nefinanciare -total</t>
  </si>
  <si>
    <t>Alte cheltuieli - total</t>
  </si>
  <si>
    <t>Proiecte cu finanțare din fonduri externe nerambursabile aferente cadrului financiar 2014-2020 - total</t>
  </si>
  <si>
    <t>Asistență socială - total</t>
  </si>
  <si>
    <t>Materiale pentru curatenie</t>
  </si>
  <si>
    <t>Încalzit, Iluminat si forta motrica</t>
  </si>
  <si>
    <t>Proiecte cu finanțare din sumele reprezentând asistență financiară nerambursabilă aferentă PNRR - total-</t>
  </si>
  <si>
    <r>
      <t xml:space="preserve">Alte cheltuieli cu bunuri si servicii </t>
    </r>
    <r>
      <rPr>
        <b/>
        <sz val="9"/>
        <color theme="1"/>
        <rFont val="Times New Roman"/>
        <family val="1"/>
      </rPr>
      <t>-PMP</t>
    </r>
    <r>
      <rPr>
        <sz val="9"/>
        <color theme="1"/>
        <rFont val="Times New Roman"/>
        <family val="1"/>
      </rPr>
      <t xml:space="preserve"> (Sprijinirea proiectelor de interes public in vederea stimularii contributiei sectorului non -profit la cresterea  si incurajarea participarii active a cetatenilor la viata comunitatii, conform Legii 350/2005)</t>
    </r>
  </si>
  <si>
    <t>Alte obiecte de inventar</t>
  </si>
  <si>
    <t>Bunuri si servicii - total -</t>
  </si>
  <si>
    <t>Cheltuieli de personal -total-</t>
  </si>
  <si>
    <t>TOTAL CHELTUIELI SURSA A</t>
  </si>
  <si>
    <t xml:space="preserve">TOTAL VENITURI SURSA A </t>
  </si>
  <si>
    <t>PMP</t>
  </si>
  <si>
    <t>Alte active fixe, din care:</t>
  </si>
  <si>
    <t>gradinite( gr 35+Mc Mina)</t>
  </si>
  <si>
    <t>Alte active fixe , din care</t>
  </si>
  <si>
    <t>Constructii - CN Nichita Stanescu</t>
  </si>
  <si>
    <t>F/D</t>
  </si>
  <si>
    <t>A/PMP</t>
  </si>
  <si>
    <t>D</t>
  </si>
  <si>
    <t>A</t>
  </si>
  <si>
    <t>F</t>
  </si>
  <si>
    <t>Plati efectuate în anii precedenti si recuperate în anul curent în sectiunea de dezvoltare a bugetului local</t>
  </si>
  <si>
    <t>Energie termică</t>
  </si>
  <si>
    <t>Plati efectuate în anii precedenti si recuperate în anul curent în sectiunea de functionare a bugetului local</t>
  </si>
  <si>
    <t>Alte active fixe  -TOTAL, DIN CARE:</t>
  </si>
  <si>
    <t>alte active fixe PMP</t>
  </si>
  <si>
    <t>Sc Mihai Eminescu</t>
  </si>
  <si>
    <t>Sc. Sf.Vineri</t>
  </si>
  <si>
    <t>Masini, echipamente si mijloace de transport - SC. Candiano popescu</t>
  </si>
  <si>
    <t>Proiecte cu finanțare din sumele aferente componentei de împrumut a PNRR -TOTAL-</t>
  </si>
  <si>
    <t>Plati efectuate în anii precedenti si recuperate în anul curent în sectiunea de funcționare a bugetului local</t>
  </si>
  <si>
    <t>Bunuri si servicii, total, din care:</t>
  </si>
  <si>
    <t>reparatii curente -PMP</t>
  </si>
  <si>
    <t>Bunuri si servicii -Centrul Creșa</t>
  </si>
  <si>
    <t>Alocatii pentru transportul la si de la locul de munca -Cresa</t>
  </si>
  <si>
    <t>Indemnizatii de hrana -cresa</t>
  </si>
  <si>
    <t>Vouchere de vacanta - Cresa</t>
  </si>
  <si>
    <t xml:space="preserve"> Contributia asiguratorie pentru munca - Cresa</t>
  </si>
  <si>
    <t>Venituri din restituirea sumelor alocate pentru reducerea riscului seismic</t>
  </si>
  <si>
    <t>Sume din excedentul bugetului local utilizate pentru finantarea cheltuielilor sectiunii de dezvoltare *)</t>
  </si>
  <si>
    <t>Sume primite în cadrul mecanismului decontarii cererilor de plata</t>
  </si>
  <si>
    <t>VENITURILE SECȚIUNII DE FUNCȚIONARE</t>
  </si>
  <si>
    <t>VENITURILE SECȚIUNII DE DEZVOLTARE</t>
  </si>
  <si>
    <t>Venituri din ajutoare de stat recuperate</t>
  </si>
  <si>
    <t>Reparatii curente PMP</t>
  </si>
  <si>
    <t>Bunuri și servicii unități de învățământ</t>
  </si>
  <si>
    <t>reparatii curente PMP</t>
  </si>
  <si>
    <t>bunuri si servicii unitati de invatamant (gradinite)</t>
  </si>
  <si>
    <t>Constructii (gr Licurici)</t>
  </si>
  <si>
    <t>Alocatii pentru transportul la si de la locul de munca -TOTAL-</t>
  </si>
  <si>
    <t xml:space="preserve">bunuri si servicii unitati de invatamant </t>
  </si>
  <si>
    <t>bunuri si servicii unitati de invatamant</t>
  </si>
  <si>
    <t>Proiecte educaționale PMP</t>
  </si>
  <si>
    <t>Cheltuieli de personal Centrul Creșa (indemnizatii de hrana+vouchere de vacanta+contributii)</t>
  </si>
  <si>
    <t>Învățământ</t>
  </si>
  <si>
    <t>Proiecte cu finanțare din fonduri externe nerambursabile aferente cadrului financiar 2014-2020</t>
  </si>
  <si>
    <t xml:space="preserve">Proiecte cu finanțare din fonduri externe nerambursabile aferente cadrului financiar 2014-2020 </t>
  </si>
  <si>
    <t>Active nefinanciare  primarie</t>
  </si>
  <si>
    <t>Active nefinanciare  unitati de invatamânt</t>
  </si>
  <si>
    <t>Bunuri si servicii total, din care:</t>
  </si>
  <si>
    <t>Reparatii curente strazi</t>
  </si>
  <si>
    <t>Servicii mobilitate si trafic urban</t>
  </si>
  <si>
    <r>
      <t xml:space="preserve">Alte bunuri și servicii pentru întreținere și funcționare - </t>
    </r>
    <r>
      <rPr>
        <b/>
        <sz val="9"/>
        <color theme="1"/>
        <rFont val="Times New Roman"/>
        <family val="1"/>
      </rPr>
      <t>RAMPA TELEAJEN-</t>
    </r>
  </si>
  <si>
    <r>
      <t>Materiale si prestari servicii cu caracter functional</t>
    </r>
    <r>
      <rPr>
        <b/>
        <sz val="9"/>
        <color theme="1"/>
        <rFont val="Times New Roman"/>
        <family val="1"/>
      </rPr>
      <t xml:space="preserve"> (CCP+DDD+COLECTARE CADAVRE)</t>
    </r>
  </si>
  <si>
    <r>
      <t>Bunuri si servicii -</t>
    </r>
    <r>
      <rPr>
        <b/>
        <sz val="9"/>
        <color theme="1"/>
        <rFont val="Times New Roman"/>
        <family val="1"/>
      </rPr>
      <t>APA METEO-</t>
    </r>
  </si>
  <si>
    <r>
      <t xml:space="preserve">Bunuri si servicii </t>
    </r>
    <r>
      <rPr>
        <b/>
        <sz val="9"/>
        <color theme="1"/>
        <rFont val="Times New Roman"/>
        <family val="1"/>
      </rPr>
      <t>- TOTAL-</t>
    </r>
  </si>
  <si>
    <r>
      <t>Încalzit, Iluminat si forta motrica -</t>
    </r>
    <r>
      <rPr>
        <b/>
        <sz val="9"/>
        <color rgb="FF222222"/>
        <rFont val="Times New Roman"/>
        <family val="1"/>
      </rPr>
      <t>ILUMINAT PUBLIC-</t>
    </r>
  </si>
  <si>
    <r>
      <t xml:space="preserve">Materiale si prestari de servicii cu caracter functional - </t>
    </r>
    <r>
      <rPr>
        <b/>
        <sz val="9"/>
        <color rgb="FF222222"/>
        <rFont val="Times New Roman"/>
        <family val="1"/>
      </rPr>
      <t>intretinere ceasuri publice-</t>
    </r>
  </si>
  <si>
    <r>
      <t xml:space="preserve">Alte bunuri si servicii pentru întretinere si functionare </t>
    </r>
    <r>
      <rPr>
        <b/>
        <sz val="9"/>
        <color rgb="FF222222"/>
        <rFont val="Times New Roman"/>
        <family val="1"/>
      </rPr>
      <t>- SGU-</t>
    </r>
  </si>
  <si>
    <r>
      <t xml:space="preserve">Reparații curente </t>
    </r>
    <r>
      <rPr>
        <b/>
        <sz val="9"/>
        <color theme="1"/>
        <rFont val="Times New Roman"/>
        <family val="1"/>
      </rPr>
      <t>FOND IMOBILIAR</t>
    </r>
  </si>
  <si>
    <t>Plati efectuate in anii precedenti si recuperate in anul curent in sectiunea de dezvoltare a bugetului local</t>
  </si>
  <si>
    <t>Bunuri si servicii -PMP-</t>
  </si>
  <si>
    <t>Bunuri si servicii -SPFL-</t>
  </si>
  <si>
    <t>Cheltuieli de personal TOTAL SPFL</t>
  </si>
  <si>
    <t>Cheltuieli de personal -total SPFL-</t>
  </si>
  <si>
    <t>Bunuri și servicii -total SPFL-</t>
  </si>
  <si>
    <t>Teatrul Toma Caragiu</t>
  </si>
  <si>
    <t>Filarmonica Paul Constantinescu</t>
  </si>
  <si>
    <t>Transferuri catre institutii publice,sectiunea de functionare, total, din care:</t>
  </si>
  <si>
    <t>Alte transferuri de capital catre institutii publice, sectiunea de dezvoltare</t>
  </si>
  <si>
    <t>Piese de schimb</t>
  </si>
  <si>
    <r>
      <t xml:space="preserve">Alte cheltuieli cu bunuri si servicii - </t>
    </r>
    <r>
      <rPr>
        <b/>
        <sz val="9"/>
        <color theme="1"/>
        <rFont val="Times New Roman"/>
        <family val="1"/>
      </rPr>
      <t>ACTIUNI CULTURALE</t>
    </r>
    <r>
      <rPr>
        <sz val="9"/>
        <color theme="1"/>
        <rFont val="Times New Roman"/>
        <family val="1"/>
      </rPr>
      <t>-</t>
    </r>
  </si>
  <si>
    <r>
      <t>Materiale și prestări servicii cu caracter funcțional -</t>
    </r>
    <r>
      <rPr>
        <b/>
        <sz val="9"/>
        <color theme="1"/>
        <rFont val="Times New Roman"/>
        <family val="1"/>
      </rPr>
      <t xml:space="preserve"> ILUMINAT ORNAMENTAL-</t>
    </r>
  </si>
  <si>
    <r>
      <t>Transferuri catre institutii publice -</t>
    </r>
    <r>
      <rPr>
        <b/>
        <sz val="9"/>
        <color theme="1"/>
        <rFont val="Times New Roman"/>
        <family val="1"/>
      </rPr>
      <t>PARCUL STERE-</t>
    </r>
  </si>
  <si>
    <t>Bunuri si servicii - PARC MUNICIPAL VEST-</t>
  </si>
  <si>
    <r>
      <t>Transferuri catre institutii publice -</t>
    </r>
    <r>
      <rPr>
        <b/>
        <sz val="9"/>
        <color theme="1"/>
        <rFont val="Times New Roman"/>
        <family val="1"/>
      </rPr>
      <t xml:space="preserve"> CASA DE CULTURA IL CARAGIALE-</t>
    </r>
  </si>
  <si>
    <r>
      <t>Transferuri catre institutii publice -</t>
    </r>
    <r>
      <rPr>
        <b/>
        <sz val="9"/>
        <color theme="1"/>
        <rFont val="Times New Roman"/>
        <family val="1"/>
      </rPr>
      <t xml:space="preserve"> CSM PLOIESTI-</t>
    </r>
  </si>
  <si>
    <t>Transferuri catre institutii publice -SECTIUNEA DE FUNCTIONARE-TOTAL, DIN CARE:</t>
  </si>
  <si>
    <r>
      <t xml:space="preserve">Alte transferuri de capital catre institutii publice </t>
    </r>
    <r>
      <rPr>
        <b/>
        <sz val="9"/>
        <color theme="1"/>
        <rFont val="Times New Roman"/>
        <family val="1"/>
      </rPr>
      <t>-PARCUL STERE-</t>
    </r>
  </si>
  <si>
    <t>Transferuri catre institutii publice -SECTIUNEA DE DEZVOLTARE-TOTAL, DIN CARE:</t>
  </si>
  <si>
    <r>
      <t xml:space="preserve">Alte transferuri de capital catre institutii publice </t>
    </r>
    <r>
      <rPr>
        <b/>
        <sz val="9"/>
        <color theme="1"/>
        <rFont val="Times New Roman"/>
        <family val="1"/>
      </rPr>
      <t>- CASA DE CULTURA IL CARAGIALE</t>
    </r>
  </si>
  <si>
    <r>
      <t>Alte transferuri de capital catre institutii publice -</t>
    </r>
    <r>
      <rPr>
        <b/>
        <sz val="9"/>
        <color theme="1"/>
        <rFont val="Times New Roman"/>
        <family val="1"/>
      </rPr>
      <t xml:space="preserve"> CSM PLOIESTI-</t>
    </r>
  </si>
  <si>
    <t>Casa de Cultura IL Caragiale</t>
  </si>
  <si>
    <t xml:space="preserve">CSM </t>
  </si>
  <si>
    <t>Parcul Stere</t>
  </si>
  <si>
    <t>Active nefinanciare total PMP</t>
  </si>
  <si>
    <t>Uniforme și echipament</t>
  </si>
  <si>
    <t>Bunuri și servicii -total PMP-</t>
  </si>
  <si>
    <t>Proiecte cu finanțare din sumele reprezentând asistență financiară nerambursabilă aferentă PNRR</t>
  </si>
  <si>
    <t>Proiecte cu finanțare din sumele aferente componentei de împrumut a PNRR</t>
  </si>
  <si>
    <t>Active nefinanciare</t>
  </si>
  <si>
    <t>Locuințe, servicii și dezvoltare publică</t>
  </si>
  <si>
    <t>Cultură, recreere și religie</t>
  </si>
  <si>
    <t>Transporturi</t>
  </si>
  <si>
    <t>Bunuri și servicii, total</t>
  </si>
  <si>
    <t>Protecția mediului                                   -centralizare-</t>
  </si>
  <si>
    <t>Cheltuieli de personal Poliția Locală -total-</t>
  </si>
  <si>
    <t>Bunuri și servicii Poliția Locală</t>
  </si>
  <si>
    <t>Bunuri și servicii PMP</t>
  </si>
  <si>
    <t>Active nefinanciare -Poliția Locală</t>
  </si>
  <si>
    <t>Active nefinanciare PMP</t>
  </si>
  <si>
    <t>Ordine publică și siguranță națională -centralizare-</t>
  </si>
  <si>
    <t>Bunuri si servicii activitate proprie - total</t>
  </si>
  <si>
    <t>Cheltuieli de personal - cantine- total</t>
  </si>
  <si>
    <t>Cheltuieli de personal - asistenta sociala- total</t>
  </si>
  <si>
    <t>Bunuri si servicii asistenta sociala -total-</t>
  </si>
  <si>
    <t>Sănătate</t>
  </si>
  <si>
    <t>510104</t>
  </si>
  <si>
    <t>CHELTUIELILE SECȚIUNII DE FUNCȚIONARE</t>
  </si>
  <si>
    <t>CHELTUIELILE SECȚIUNII DE DEZVOLTARE</t>
  </si>
  <si>
    <t>Transferuri -SF</t>
  </si>
  <si>
    <t>Transferuri -SD</t>
  </si>
  <si>
    <t>CHELTUIELI DE FUNCȚIONARE 68</t>
  </si>
  <si>
    <t>CHELTUIELI DE DEZVOLTARE 68</t>
  </si>
  <si>
    <t>CHELTUIELI DE FUNCȚIONARE 70</t>
  </si>
  <si>
    <t>CHELTUIELI DE DEZVOLTARE 70</t>
  </si>
  <si>
    <t>CHELTUIELI DE FUNCȚIONARE 74</t>
  </si>
  <si>
    <t>CHELTUIELI DE DEZVOLTARE 74</t>
  </si>
  <si>
    <t>CHELTUIELI DE FUNCȚIONARE 84</t>
  </si>
  <si>
    <t>CHELTUIELI DE DEZVOLTARE 84</t>
  </si>
  <si>
    <t>CHELTUIELI DE FUNCȚIONARE 54</t>
  </si>
  <si>
    <t>CHELTUIELI DE DEZVOLTARE 54</t>
  </si>
  <si>
    <t>CHELTUIELI DE FUNCȚIONARE 51</t>
  </si>
  <si>
    <t>CHELTUIELI DE DEZVOLTARE 51</t>
  </si>
  <si>
    <t>CHELTUIELI DE FUNCȚIONARE 67</t>
  </si>
  <si>
    <t>CHELTUIELI DE DEZVOLTARE 67</t>
  </si>
  <si>
    <t>CHELTUIELI DE FUNCȚIONARE 66</t>
  </si>
  <si>
    <t>CHELTUIELI DE DEZVOLTARE 66</t>
  </si>
  <si>
    <t>CHELTUIELI DE FUNCȚIONARE 65</t>
  </si>
  <si>
    <t>CHELTUIELI DE DEZVOLTARE 65</t>
  </si>
  <si>
    <t>CHELTUIELI DE FUNCȚIONARE 61</t>
  </si>
  <si>
    <t>CHELTUIELI DE DEZVOLTARE 61</t>
  </si>
  <si>
    <t>Cheltuieli de personal total  ASSC</t>
  </si>
  <si>
    <t>Varsaminte din sectiunea de functionare pentru finantarea sectiunii de dezvoltare a bugetului local</t>
  </si>
  <si>
    <t>Indemnizatii platite unor persoane din afara unitatii - cheltuieli pentru alegeri</t>
  </si>
  <si>
    <t>Alte sume primite din fonduri Europene in contul cheltuielilor devenite eligibile aferente PNRR</t>
  </si>
  <si>
    <t>AGREGAT LA NIVEL DE ORDONATOR PRINCIPAL DE CREDITE  SURSA A</t>
  </si>
  <si>
    <t>PMP -proiecte educaționale</t>
  </si>
  <si>
    <r>
      <t>Alte bunuri si servicii pentru intretinere si functionare -</t>
    </r>
    <r>
      <rPr>
        <b/>
        <sz val="9"/>
        <color theme="1"/>
        <rFont val="Times New Roman"/>
        <family val="1"/>
      </rPr>
      <t xml:space="preserve"> cheltuieli pentru alegeri</t>
    </r>
  </si>
  <si>
    <r>
      <t>Transferuri catre institutii publice -</t>
    </r>
    <r>
      <rPr>
        <b/>
        <sz val="9"/>
        <color rgb="FF222222"/>
        <rFont val="Times New Roman"/>
        <family val="1"/>
      </rPr>
      <t>SPCLEP</t>
    </r>
  </si>
  <si>
    <r>
      <t xml:space="preserve">Alte transferuri de capital catre institutii publice - </t>
    </r>
    <r>
      <rPr>
        <b/>
        <sz val="9"/>
        <color rgb="FF222222"/>
        <rFont val="Times New Roman"/>
        <family val="1"/>
      </rPr>
      <t>SPCLEP</t>
    </r>
  </si>
  <si>
    <t>Plati efectuate în anii precedenti si recuperate în anul curent în sectiunea de dezvoltareare a bugetului local</t>
  </si>
  <si>
    <t xml:space="preserve">Alte impozite pe venit, profit si câștiguri din capital </t>
  </si>
  <si>
    <t>Alte servicii în domeniul protecției mediului</t>
  </si>
  <si>
    <t>Transferuri catre institutii publice (internate+cantine)</t>
  </si>
  <si>
    <t>Plati efectuate în anii precedenti si recuperate în anul curent în sectiunea de dezvoltare  a bugetului local</t>
  </si>
  <si>
    <t>Plati efectuate în anii precedenti si recuperate în anul curent în sectiunea de funcționare  a bugetului local</t>
  </si>
  <si>
    <t>Subventii de la bugetul de stat catre bugetele locale necesare sustinerii derularii proiectelor finantate din fonduri externe nerambursabile (FEN) postaderare, aferente perioadei de programare 2014-2020</t>
  </si>
  <si>
    <t>Programe finantate din Fondul European de Dezvoltare Regionala (FEDR), aferente cadrului financiar 2021-2027</t>
  </si>
  <si>
    <t>Finanțare națională</t>
  </si>
  <si>
    <t>Finanțare externă nerambursabilă</t>
  </si>
  <si>
    <t>Venituri din despăgubiri</t>
  </si>
  <si>
    <t>Subvenții de la bugetul de stat către locale pentru decontarea serviciilor aferente măsurilor de prevenire și combatere a atacurilor exemplarelor de urs brun</t>
  </si>
  <si>
    <t>Grad de realizare %</t>
  </si>
  <si>
    <t>Taxe din activități cadastrale</t>
  </si>
  <si>
    <t>Tichete de cresa si tichete sociale pentru gradinita - pmp</t>
  </si>
  <si>
    <t>Proiecte cu finanțare din sumele reprezentând asistență financiară nerambursabilă aferentă PNRR - ASSC -total-</t>
  </si>
  <si>
    <t>VP</t>
  </si>
  <si>
    <t>Sume aferente investițiilor din Fondul pentru modernizare</t>
  </si>
  <si>
    <t>Subvenții acordate în baza contractelor de parteneriat sau asociere, pentru secțiunea de funcționare</t>
  </si>
  <si>
    <t>Alte cheltuieli cu bunuri și servicii</t>
  </si>
  <si>
    <t>Subvenție pentru acoperirea diferențelor de preț și tarif</t>
  </si>
  <si>
    <t>Execuție la 31.12.2024</t>
  </si>
  <si>
    <t>Sume alocate din bugetul ANCPI pentru finantarea lucrarilor de inregistrare sistematica din cadrul Programului national de cadastru si carte funciara</t>
  </si>
  <si>
    <t>030000</t>
  </si>
  <si>
    <t>Subvenţii de la bugetul de stat către bugetele locale necesare susţinerii derulării proiectelor finanțate din fondurile europene dedicate Afacerilor interne, pentru perioada de programare 2021 – 2027</t>
  </si>
  <si>
    <t>Subvenţii de la bugetul de stat către bugetele locale necesare susţinerii derulării proiectelor finanţate din FEN postaderare, aferente perioadei de programare 2021-2027</t>
  </si>
  <si>
    <t>Subvenţii de la bugetul de stat necesare susţinerii derulării proiectelor finanţate din fonduri externe nerambursabile (FEN) postaderare, aferete perioadei de programare 2021-2027, TOTAL, din care:</t>
  </si>
  <si>
    <t>Impozit pe venit, total, din care:</t>
  </si>
  <si>
    <t>Cote si sume defalcate din impozitul pe venit , total, din care:</t>
  </si>
  <si>
    <t>040000</t>
  </si>
  <si>
    <t>070000</t>
  </si>
  <si>
    <t>Impozit si taxa pe cladiri</t>
  </si>
  <si>
    <t>Impozit si taxa pe teren</t>
  </si>
  <si>
    <t>070100</t>
  </si>
  <si>
    <t>070200</t>
  </si>
  <si>
    <t>Impozite si taxe pe proprietate, total:</t>
  </si>
  <si>
    <t>Sume defalcate din TVA</t>
  </si>
  <si>
    <t>Taxe pe utilizarea bunurilor, autorizarea utilizarii bunurilor sau pe desfasurarea de activitati</t>
  </si>
  <si>
    <t>Impozit pe mijloacele de transport</t>
  </si>
  <si>
    <t>Venituri din proprietate</t>
  </si>
  <si>
    <t>Venituri din prestări servicii</t>
  </si>
  <si>
    <t>Amenzi, penalități și confiscări</t>
  </si>
  <si>
    <t>Subvenții de la bugetul de stat</t>
  </si>
  <si>
    <t>Alocări de sume din PNRR aferente asistenței financiare nerambursabile</t>
  </si>
  <si>
    <t>Sume alocate din PNRR aferente asistenței financiare nerambursabile</t>
  </si>
  <si>
    <t xml:space="preserve"> Fonduri europene nerambursabile</t>
  </si>
  <si>
    <t>Finantare publică națională</t>
  </si>
  <si>
    <t>Alocări de sume din PNRR aferente componentei împrumuturi</t>
  </si>
  <si>
    <t>Subvenții de la alte administrații -TOTAL-</t>
  </si>
  <si>
    <t>Fondul European de Dezvoltare Regională (FEDR), aferent cadrului financiar 2021-2027</t>
  </si>
  <si>
    <t>Fondul Social European Plus (FSE+), aferent cadrului financiar 2021-2027</t>
  </si>
  <si>
    <t>Sume primite de la UE/alți donatori în contul plăților efectuate și prefinanțări aferente cadrului financiar 2014-2020</t>
  </si>
  <si>
    <t>Fondul European de Dezvoltare Regională (FEDR)</t>
  </si>
  <si>
    <t>Fondul Social European Plus (FSE)</t>
  </si>
  <si>
    <t>VPSPFL</t>
  </si>
  <si>
    <t>Alte drepturi salariale in bani (ore de noapte)</t>
  </si>
  <si>
    <t>Sume alocate din cotele defalcate din impozitul pe venit pentru echilibrarea bugetelor locale (cota de 14%)</t>
  </si>
  <si>
    <t>Cheltuieli de personal - CREȘA TOTAL</t>
  </si>
  <si>
    <t>Buget final 2024</t>
  </si>
  <si>
    <t>Materiale și prestării de servicii cu caracter funcțional</t>
  </si>
  <si>
    <t>Alte bunuri și servicii cu caracter funcțional</t>
  </si>
  <si>
    <t>Pregătire profesională</t>
  </si>
  <si>
    <t>Protocol și reprezentare</t>
  </si>
  <si>
    <t>300101</t>
  </si>
  <si>
    <t>300102</t>
  </si>
  <si>
    <t>Dobânzi aferente datoriei publice interne directe</t>
  </si>
  <si>
    <t>Alte active fixe PMP</t>
  </si>
  <si>
    <t>Mașini, echipamente și mijloace de transport</t>
  </si>
  <si>
    <r>
      <t xml:space="preserve">Mobilier, aparatura birotica si alte active corporale </t>
    </r>
    <r>
      <rPr>
        <b/>
        <sz val="9"/>
        <color theme="1"/>
        <rFont val="Times New Roman"/>
        <family val="1"/>
      </rPr>
      <t>-SPFL-</t>
    </r>
  </si>
  <si>
    <r>
      <t xml:space="preserve">Tichete de cresa si tichete sociale pentru gradinita - </t>
    </r>
    <r>
      <rPr>
        <b/>
        <sz val="12"/>
        <color theme="1"/>
        <rFont val="Times New Roman"/>
        <family val="1"/>
      </rPr>
      <t>ASSC</t>
    </r>
  </si>
  <si>
    <t>Constructii-ASSC</t>
  </si>
  <si>
    <t>Alte active fixe ASSC</t>
  </si>
  <si>
    <t>Constructii-PMP</t>
  </si>
  <si>
    <t xml:space="preserve">Propunere buget 2025 PMP </t>
  </si>
  <si>
    <t>040400</t>
  </si>
  <si>
    <r>
      <t xml:space="preserve">Materiale și prestări servicii cu caracter funcțional - </t>
    </r>
    <r>
      <rPr>
        <b/>
        <sz val="9"/>
        <color theme="1"/>
        <rFont val="Times New Roman"/>
        <family val="1"/>
      </rPr>
      <t>contract prestări RASP</t>
    </r>
  </si>
  <si>
    <t>fișă</t>
  </si>
  <si>
    <t>VP-DP</t>
  </si>
  <si>
    <t>Subventii din bugetul de stat alocate conform contractelor incheiate cu directiile de sanatate publica (ctr DSP pentru ASSC)</t>
  </si>
  <si>
    <t>Alte transferuri curente interne</t>
  </si>
  <si>
    <t>Subventii din bugetul de stat pentru finantarea sanatatii(mediatori si asistenti cabinete medicale ASSC)</t>
  </si>
  <si>
    <t>Sume din excedentul bugetului local utilizate pentru finantarea cheltuielilor sectiunii de funcționare *)</t>
  </si>
  <si>
    <t>Ajutoare sociale în numerar</t>
  </si>
  <si>
    <t>Cheltuieli</t>
  </si>
  <si>
    <t>Active nefinanciare unități de învățământ</t>
  </si>
  <si>
    <t xml:space="preserve">Bunuri si servicii PMP - reparații curente </t>
  </si>
  <si>
    <t>TOTAL ENERGIE TERMICĂ</t>
  </si>
  <si>
    <t>TOTAL ALTE CHELTUIELI PRIVIND COMBUSTIBILI ȘI ENERGIA</t>
  </si>
  <si>
    <t>Alte cheltuieli privind combustibili și energia</t>
  </si>
  <si>
    <t>Sume aferente proiectelor finanțate din Fondul de modernizare</t>
  </si>
  <si>
    <t>Sume din Fondul de Modernizare</t>
  </si>
  <si>
    <t>Sume aferente contribuției proprii a beneficiarilor</t>
  </si>
  <si>
    <t>CHELTUIELI DE FUNCȚIONARE 81</t>
  </si>
  <si>
    <t>CHELTUIELI DE DEZVOLTARE 81</t>
  </si>
  <si>
    <t>Programe din Fondul European de Dezvoltare Regionala (FEDR)</t>
  </si>
  <si>
    <t>Proiecte cu finanțare din sumele reprezentând asistența financiară nerambursabilă aferentă PNRR</t>
  </si>
  <si>
    <t>Programe din Fondul Social European (FSE)</t>
  </si>
  <si>
    <t>VSD-CHSD</t>
  </si>
  <si>
    <t>Proiecte cu finanțare din sumele reprezentând asistență financiară nerambursabilă aferentă PNRR - total-ASSC</t>
  </si>
  <si>
    <t>Active nefinanciare SPFL</t>
  </si>
  <si>
    <t>TOTAL CHELTUIELI ASSC - FUNCȚIONARE</t>
  </si>
  <si>
    <t>Programe din Fondul Social European (FSE) - ASSC</t>
  </si>
  <si>
    <t>Bunuri și servicii ASSC</t>
  </si>
  <si>
    <t>Ajutoare sociale ASSC</t>
  </si>
  <si>
    <t>Alte cheltuieli ASSC</t>
  </si>
  <si>
    <t>Active nefinanciare ASSC</t>
  </si>
  <si>
    <t>POLIȚIA LOCALĂ -TOTAL CHELTUIELI DE FUNCȚIONARE-</t>
  </si>
  <si>
    <t>POLIȚIA LOCALĂ -TOTAL CHELTUIELI DE DEZVOLTARE</t>
  </si>
  <si>
    <t>ASSC-CABINETE ȘCOLARE -TOTAL CHELTUIELI DE FUNCȚIONARE</t>
  </si>
  <si>
    <t xml:space="preserve"> PROIECT BUGET LOCAL PE ANUL 2025</t>
  </si>
  <si>
    <t>ANEXA NR.1</t>
  </si>
  <si>
    <t>Bunuri și servicii unități de învățământ  -TOTAL-</t>
  </si>
  <si>
    <t>Alte cheltuieli - Sume aferente persoanelor cu handicap neincadrate</t>
  </si>
  <si>
    <t>Cheltuieli de personal activitate proprie - total-</t>
  </si>
  <si>
    <t>VSF-CHSF</t>
  </si>
  <si>
    <t>Sume aferente persoanelor cu handicap neincadrate - SPFL-</t>
  </si>
  <si>
    <t>SPFL- CHELTUIELI DE FUNCȚIONARE - TOTAL-</t>
  </si>
  <si>
    <t>MUNICIPIUL PLOIEȘTI</t>
  </si>
  <si>
    <t>Notă:</t>
  </si>
  <si>
    <t xml:space="preserve">Prezentul proiect al bugetului local pe anul 2025 este în stadiul de propunere și în perioada următoare, va suporta modificări urmare a propunerilor ce vor fi făcute, până la aprobarea acestuia.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</si>
</sst>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2"/>
      <color theme="1"/>
      <name val="Calibri"/>
      <family val="2"/>
      <scheme val="minor"/>
    </font>
    <font>
      <sz val="9"/>
      <color rgb="FF222222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9"/>
      <color theme="1"/>
      <name val="Calibri"/>
      <family val="2"/>
    </font>
    <font>
      <b/>
      <sz val="16"/>
      <color theme="1"/>
      <name val="Times New Roman"/>
      <family val="1"/>
    </font>
    <font>
      <b/>
      <sz val="20"/>
      <color theme="1"/>
      <name val="Times New Roman"/>
      <family val="1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9"/>
      <color rgb="FF222222"/>
      <name val="Times New Roman"/>
      <family val="1"/>
    </font>
    <font>
      <sz val="14"/>
      <color theme="1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b/>
      <sz val="9"/>
      <color indexed="8"/>
      <name val="Times New Roman"/>
      <family val="1"/>
    </font>
    <font>
      <b/>
      <sz val="18"/>
      <name val="Times New Roman"/>
      <family val="1"/>
    </font>
    <font>
      <sz val="11"/>
      <name val="Calibri"/>
      <family val="2"/>
      <charset val="238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4"/>
      <color rgb="FFFF0000"/>
      <name val="Times New Roman"/>
      <family val="1"/>
    </font>
    <font>
      <b/>
      <sz val="11"/>
      <color rgb="FFFF0000"/>
      <name val="Calibri"/>
      <family val="2"/>
    </font>
    <font>
      <b/>
      <sz val="12"/>
      <color rgb="FFFF0000"/>
      <name val="Times New Roman"/>
      <family val="1"/>
    </font>
    <font>
      <b/>
      <sz val="16"/>
      <color rgb="FFFF0000"/>
      <name val="Times New Roman"/>
      <family val="1"/>
    </font>
    <font>
      <b/>
      <sz val="11"/>
      <color rgb="FFFF0000"/>
      <name val="Times New Roman"/>
      <family val="1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rgb="FFFF0000"/>
      <name val="Times New Roman"/>
      <family val="1"/>
    </font>
    <font>
      <b/>
      <sz val="11"/>
      <name val="Calibri"/>
      <family val="2"/>
    </font>
    <font>
      <b/>
      <sz val="12"/>
      <name val="Times New Roman"/>
      <family val="1"/>
    </font>
    <font>
      <b/>
      <sz val="11"/>
      <name val="Calibri"/>
      <family val="2"/>
      <scheme val="minor"/>
    </font>
    <font>
      <sz val="14"/>
      <color rgb="FFFF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rgb="FFDDDDDD"/>
      </top>
      <bottom/>
      <diagonal/>
    </border>
  </borders>
  <cellStyleXfs count="2">
    <xf numFmtId="0" fontId="0" fillId="0" borderId="0"/>
    <xf numFmtId="0" fontId="6" fillId="0" borderId="0"/>
  </cellStyleXfs>
  <cellXfs count="6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/>
    <xf numFmtId="4" fontId="0" fillId="0" borderId="0" xfId="0" applyNumberFormat="1"/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4" fillId="3" borderId="6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3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49" fontId="5" fillId="0" borderId="25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5" fillId="0" borderId="2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49" fontId="5" fillId="0" borderId="1" xfId="1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8" fillId="0" borderId="13" xfId="0" applyFont="1" applyBorder="1" applyAlignment="1">
      <alignment wrapText="1"/>
    </xf>
    <xf numFmtId="0" fontId="5" fillId="0" borderId="29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13" fillId="0" borderId="0" xfId="0" applyFont="1"/>
    <xf numFmtId="0" fontId="5" fillId="0" borderId="22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15" fillId="0" borderId="24" xfId="0" applyFont="1" applyBorder="1" applyAlignment="1">
      <alignment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4" fontId="4" fillId="0" borderId="26" xfId="0" applyNumberFormat="1" applyFont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center" vertical="center" wrapText="1"/>
    </xf>
    <xf numFmtId="0" fontId="7" fillId="8" borderId="26" xfId="0" applyFont="1" applyFill="1" applyBorder="1" applyAlignment="1">
      <alignment horizontal="left" vertical="top" wrapText="1"/>
    </xf>
    <xf numFmtId="0" fontId="4" fillId="0" borderId="2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7" fillId="8" borderId="24" xfId="0" applyFont="1" applyFill="1" applyBorder="1" applyAlignment="1">
      <alignment horizontal="left" vertical="top" wrapText="1"/>
    </xf>
    <xf numFmtId="0" fontId="9" fillId="3" borderId="17" xfId="0" applyFont="1" applyFill="1" applyBorder="1" applyAlignment="1">
      <alignment horizontal="center" vertical="center" wrapText="1"/>
    </xf>
    <xf numFmtId="4" fontId="17" fillId="3" borderId="14" xfId="0" applyNumberFormat="1" applyFont="1" applyFill="1" applyBorder="1" applyAlignment="1">
      <alignment horizontal="center" vertical="center" wrapText="1"/>
    </xf>
    <xf numFmtId="4" fontId="18" fillId="3" borderId="13" xfId="0" applyNumberFormat="1" applyFont="1" applyFill="1" applyBorder="1" applyAlignment="1">
      <alignment horizontal="center" vertical="center" wrapText="1"/>
    </xf>
    <xf numFmtId="4" fontId="18" fillId="3" borderId="14" xfId="0" applyNumberFormat="1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wrapText="1"/>
    </xf>
    <xf numFmtId="0" fontId="4" fillId="3" borderId="8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7" fillId="8" borderId="26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9" fillId="3" borderId="0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8" borderId="24" xfId="0" applyFont="1" applyFill="1" applyBorder="1" applyAlignment="1">
      <alignment horizontal="left" vertical="top" wrapText="1"/>
    </xf>
    <xf numFmtId="0" fontId="4" fillId="0" borderId="1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8" borderId="24" xfId="0" applyFont="1" applyFill="1" applyBorder="1" applyAlignment="1">
      <alignment horizontal="left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0" fontId="7" fillId="8" borderId="22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vertical="center" wrapText="1"/>
    </xf>
    <xf numFmtId="0" fontId="4" fillId="4" borderId="27" xfId="0" applyFont="1" applyFill="1" applyBorder="1" applyAlignment="1">
      <alignment horizontal="center" vertical="top" wrapText="1"/>
    </xf>
    <xf numFmtId="0" fontId="4" fillId="0" borderId="22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left" vertical="center" wrapText="1"/>
    </xf>
    <xf numFmtId="0" fontId="7" fillId="8" borderId="14" xfId="0" applyFont="1" applyFill="1" applyBorder="1" applyAlignment="1">
      <alignment horizontal="left" vertical="center" wrapText="1"/>
    </xf>
    <xf numFmtId="0" fontId="14" fillId="0" borderId="0" xfId="0" applyFont="1"/>
    <xf numFmtId="0" fontId="7" fillId="8" borderId="14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4" fontId="4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7" fillId="3" borderId="24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top" wrapText="1"/>
    </xf>
    <xf numFmtId="0" fontId="4" fillId="9" borderId="6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left" vertical="top" wrapText="1"/>
    </xf>
    <xf numFmtId="0" fontId="5" fillId="0" borderId="23" xfId="0" applyFont="1" applyBorder="1" applyAlignment="1">
      <alignment horizontal="left" vertical="center" wrapText="1"/>
    </xf>
    <xf numFmtId="0" fontId="5" fillId="9" borderId="13" xfId="0" applyFont="1" applyFill="1" applyBorder="1" applyAlignment="1">
      <alignment horizontal="left" vertical="center" wrapText="1"/>
    </xf>
    <xf numFmtId="0" fontId="5" fillId="9" borderId="38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23" xfId="0" applyFont="1" applyFill="1" applyBorder="1" applyAlignment="1">
      <alignment horizontal="left" vertical="center" wrapText="1"/>
    </xf>
    <xf numFmtId="0" fontId="5" fillId="3" borderId="32" xfId="0" applyFont="1" applyFill="1" applyBorder="1" applyAlignment="1">
      <alignment horizontal="left" vertical="center" wrapText="1"/>
    </xf>
    <xf numFmtId="0" fontId="22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3" fillId="0" borderId="0" xfId="0" applyFont="1"/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21" fillId="0" borderId="0" xfId="0" applyFont="1"/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10" borderId="40" xfId="0" applyFont="1" applyFill="1" applyBorder="1" applyAlignment="1">
      <alignment horizontal="left" vertical="top" wrapText="1"/>
    </xf>
    <xf numFmtId="0" fontId="5" fillId="0" borderId="3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7" fillId="10" borderId="11" xfId="0" applyFont="1" applyFill="1" applyBorder="1" applyAlignment="1">
      <alignment horizontal="left" vertical="top" wrapText="1"/>
    </xf>
    <xf numFmtId="0" fontId="4" fillId="0" borderId="26" xfId="0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8" borderId="22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15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5" fillId="0" borderId="37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wrapText="1"/>
    </xf>
    <xf numFmtId="0" fontId="24" fillId="3" borderId="0" xfId="0" applyFont="1" applyFill="1"/>
    <xf numFmtId="0" fontId="5" fillId="5" borderId="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4" fontId="25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9" fillId="3" borderId="13" xfId="0" applyFont="1" applyFill="1" applyBorder="1" applyAlignment="1">
      <alignment horizontal="left" vertical="center" wrapText="1"/>
    </xf>
    <xf numFmtId="4" fontId="5" fillId="0" borderId="16" xfId="0" applyNumberFormat="1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3" borderId="14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" fontId="9" fillId="0" borderId="16" xfId="0" applyNumberFormat="1" applyFont="1" applyBorder="1" applyAlignment="1">
      <alignment vertical="center" wrapText="1"/>
    </xf>
    <xf numFmtId="0" fontId="8" fillId="0" borderId="14" xfId="0" applyFont="1" applyBorder="1" applyAlignment="1">
      <alignment horizontal="left" vertical="center" wrapText="1"/>
    </xf>
    <xf numFmtId="0" fontId="26" fillId="0" borderId="0" xfId="0" applyFont="1"/>
    <xf numFmtId="0" fontId="8" fillId="0" borderId="14" xfId="0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vertical="center" wrapText="1"/>
    </xf>
    <xf numFmtId="0" fontId="8" fillId="0" borderId="22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" fontId="9" fillId="0" borderId="25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6" xfId="0" applyNumberFormat="1" applyFont="1" applyBorder="1" applyAlignment="1">
      <alignment vertical="center" wrapText="1"/>
    </xf>
    <xf numFmtId="0" fontId="5" fillId="0" borderId="21" xfId="0" applyFont="1" applyBorder="1" applyAlignment="1">
      <alignment wrapText="1"/>
    </xf>
    <xf numFmtId="0" fontId="4" fillId="3" borderId="6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horizontal="center" vertical="top" wrapText="1"/>
    </xf>
    <xf numFmtId="0" fontId="3" fillId="9" borderId="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7" fillId="8" borderId="0" xfId="0" applyFont="1" applyFill="1" applyBorder="1" applyAlignment="1">
      <alignment horizontal="left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3" borderId="22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 wrapText="1"/>
    </xf>
    <xf numFmtId="0" fontId="29" fillId="0" borderId="0" xfId="0" applyFont="1" applyAlignment="1">
      <alignment horizontal="center"/>
    </xf>
    <xf numFmtId="4" fontId="29" fillId="3" borderId="0" xfId="0" applyNumberFormat="1" applyFont="1" applyFill="1" applyAlignment="1">
      <alignment horizontal="center"/>
    </xf>
    <xf numFmtId="4" fontId="31" fillId="3" borderId="0" xfId="0" applyNumberFormat="1" applyFont="1" applyFill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4" fontId="18" fillId="0" borderId="23" xfId="0" applyNumberFormat="1" applyFont="1" applyBorder="1" applyAlignment="1">
      <alignment horizontal="center" vertical="center" wrapText="1"/>
    </xf>
    <xf numFmtId="4" fontId="29" fillId="6" borderId="1" xfId="0" applyNumberFormat="1" applyFont="1" applyFill="1" applyBorder="1" applyAlignment="1">
      <alignment horizontal="center" vertical="center" wrapText="1"/>
    </xf>
    <xf numFmtId="4" fontId="18" fillId="0" borderId="24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7" fillId="0" borderId="24" xfId="0" applyNumberFormat="1" applyFont="1" applyBorder="1" applyAlignment="1">
      <alignment horizontal="center" vertical="center" wrapText="1"/>
    </xf>
    <xf numFmtId="4" fontId="17" fillId="0" borderId="14" xfId="0" applyNumberFormat="1" applyFont="1" applyBorder="1" applyAlignment="1">
      <alignment horizontal="center" vertical="center" wrapText="1"/>
    </xf>
    <xf numFmtId="4" fontId="18" fillId="0" borderId="21" xfId="0" applyNumberFormat="1" applyFont="1" applyBorder="1" applyAlignment="1">
      <alignment horizontal="center" vertical="center" wrapText="1"/>
    </xf>
    <xf numFmtId="4" fontId="18" fillId="0" borderId="22" xfId="0" applyNumberFormat="1" applyFont="1" applyBorder="1" applyAlignment="1">
      <alignment horizontal="center" vertical="center" wrapText="1"/>
    </xf>
    <xf numFmtId="4" fontId="17" fillId="0" borderId="14" xfId="0" applyNumberFormat="1" applyFont="1" applyFill="1" applyBorder="1" applyAlignment="1">
      <alignment horizontal="center" vertical="center" wrapText="1"/>
    </xf>
    <xf numFmtId="4" fontId="18" fillId="0" borderId="14" xfId="0" applyNumberFormat="1" applyFont="1" applyFill="1" applyBorder="1" applyAlignment="1">
      <alignment horizontal="center" vertical="center" wrapText="1"/>
    </xf>
    <xf numFmtId="4" fontId="17" fillId="0" borderId="22" xfId="0" applyNumberFormat="1" applyFont="1" applyBorder="1" applyAlignment="1">
      <alignment horizontal="center" vertical="center" wrapText="1"/>
    </xf>
    <xf numFmtId="4" fontId="18" fillId="0" borderId="14" xfId="0" applyNumberFormat="1" applyFont="1" applyBorder="1" applyAlignment="1">
      <alignment horizontal="center" vertical="center" wrapText="1"/>
    </xf>
    <xf numFmtId="4" fontId="18" fillId="0" borderId="13" xfId="0" applyNumberFormat="1" applyFont="1" applyBorder="1" applyAlignment="1">
      <alignment horizontal="center" vertical="center" wrapText="1"/>
    </xf>
    <xf numFmtId="4" fontId="18" fillId="0" borderId="15" xfId="0" applyNumberFormat="1" applyFont="1" applyBorder="1" applyAlignment="1">
      <alignment horizontal="center" vertical="center" wrapText="1"/>
    </xf>
    <xf numFmtId="4" fontId="17" fillId="0" borderId="21" xfId="0" applyNumberFormat="1" applyFont="1" applyBorder="1" applyAlignment="1">
      <alignment horizontal="center" vertical="center" wrapText="1"/>
    </xf>
    <xf numFmtId="4" fontId="18" fillId="3" borderId="21" xfId="0" applyNumberFormat="1" applyFont="1" applyFill="1" applyBorder="1" applyAlignment="1">
      <alignment horizontal="center" vertical="center" wrapText="1"/>
    </xf>
    <xf numFmtId="4" fontId="18" fillId="3" borderId="1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 wrapText="1"/>
    </xf>
    <xf numFmtId="4" fontId="17" fillId="3" borderId="21" xfId="0" applyNumberFormat="1" applyFont="1" applyFill="1" applyBorder="1" applyAlignment="1">
      <alignment horizontal="center" vertical="center" wrapText="1"/>
    </xf>
    <xf numFmtId="4" fontId="31" fillId="5" borderId="1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29" fillId="5" borderId="1" xfId="0" applyNumberFormat="1" applyFont="1" applyFill="1" applyBorder="1" applyAlignment="1">
      <alignment horizontal="center" vertical="center" wrapText="1"/>
    </xf>
    <xf numFmtId="4" fontId="18" fillId="0" borderId="26" xfId="0" applyNumberFormat="1" applyFont="1" applyBorder="1" applyAlignment="1">
      <alignment horizontal="center" vertical="center" wrapText="1"/>
    </xf>
    <xf numFmtId="4" fontId="18" fillId="3" borderId="22" xfId="0" applyNumberFormat="1" applyFont="1" applyFill="1" applyBorder="1" applyAlignment="1">
      <alignment horizontal="center" vertical="center" wrapText="1"/>
    </xf>
    <xf numFmtId="4" fontId="18" fillId="9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7" fillId="0" borderId="26" xfId="0" applyFont="1" applyBorder="1" applyAlignment="1">
      <alignment vertical="center" wrapText="1"/>
    </xf>
    <xf numFmtId="49" fontId="5" fillId="0" borderId="16" xfId="1" applyNumberFormat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indent="1"/>
    </xf>
    <xf numFmtId="0" fontId="0" fillId="0" borderId="0" xfId="0" applyFont="1" applyAlignment="1">
      <alignment horizontal="left" wrapText="1"/>
    </xf>
    <xf numFmtId="0" fontId="0" fillId="0" borderId="0" xfId="0" applyFont="1"/>
    <xf numFmtId="0" fontId="3" fillId="0" borderId="0" xfId="0" applyFont="1" applyAlignment="1">
      <alignment horizontal="left" indent="1"/>
    </xf>
    <xf numFmtId="0" fontId="5" fillId="0" borderId="19" xfId="0" applyFont="1" applyBorder="1" applyAlignment="1">
      <alignment vertical="center" wrapText="1"/>
    </xf>
    <xf numFmtId="0" fontId="7" fillId="0" borderId="21" xfId="0" applyFont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center" vertical="top" wrapText="1"/>
    </xf>
    <xf numFmtId="0" fontId="4" fillId="3" borderId="23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8" fillId="3" borderId="26" xfId="0" applyFont="1" applyFill="1" applyBorder="1" applyAlignment="1">
      <alignment wrapText="1"/>
    </xf>
    <xf numFmtId="0" fontId="4" fillId="5" borderId="6" xfId="0" applyFont="1" applyFill="1" applyBorder="1" applyAlignment="1">
      <alignment horizontal="center" vertical="top" wrapText="1"/>
    </xf>
    <xf numFmtId="0" fontId="4" fillId="3" borderId="25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3" borderId="6" xfId="0" applyFont="1" applyFill="1" applyBorder="1" applyAlignment="1">
      <alignment horizontal="center" vertical="top" wrapText="1"/>
    </xf>
    <xf numFmtId="0" fontId="3" fillId="9" borderId="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wrapText="1"/>
    </xf>
    <xf numFmtId="0" fontId="7" fillId="8" borderId="38" xfId="0" applyFont="1" applyFill="1" applyBorder="1" applyAlignment="1">
      <alignment horizontal="left" vertical="center" wrapText="1"/>
    </xf>
    <xf numFmtId="0" fontId="5" fillId="3" borderId="29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horizontal="left" vertical="center" wrapText="1"/>
    </xf>
    <xf numFmtId="0" fontId="15" fillId="0" borderId="13" xfId="0" applyFont="1" applyBorder="1" applyAlignment="1">
      <alignment vertical="center" wrapText="1"/>
    </xf>
    <xf numFmtId="0" fontId="9" fillId="3" borderId="13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wrapText="1"/>
    </xf>
    <xf numFmtId="4" fontId="29" fillId="3" borderId="14" xfId="0" applyNumberFormat="1" applyFont="1" applyFill="1" applyBorder="1" applyAlignment="1">
      <alignment horizontal="center" vertical="center" wrapText="1"/>
    </xf>
    <xf numFmtId="4" fontId="31" fillId="3" borderId="14" xfId="0" applyNumberFormat="1" applyFont="1" applyFill="1" applyBorder="1" applyAlignment="1">
      <alignment horizontal="center" vertical="center" wrapText="1"/>
    </xf>
    <xf numFmtId="4" fontId="33" fillId="3" borderId="1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3" borderId="24" xfId="0" applyNumberFormat="1" applyFont="1" applyFill="1" applyBorder="1" applyAlignment="1">
      <alignment horizontal="center" vertical="center" wrapText="1"/>
    </xf>
    <xf numFmtId="10" fontId="4" fillId="3" borderId="24" xfId="0" applyNumberFormat="1" applyFont="1" applyFill="1" applyBorder="1" applyAlignment="1">
      <alignment horizontal="center" vertical="center" wrapText="1"/>
    </xf>
    <xf numFmtId="4" fontId="5" fillId="0" borderId="24" xfId="0" applyNumberFormat="1" applyFont="1" applyBorder="1" applyAlignment="1">
      <alignment horizontal="center" vertical="center" wrapText="1"/>
    </xf>
    <xf numFmtId="4" fontId="5" fillId="3" borderId="24" xfId="0" applyNumberFormat="1" applyFont="1" applyFill="1" applyBorder="1" applyAlignment="1">
      <alignment horizontal="center" vertical="center" wrapText="1"/>
    </xf>
    <xf numFmtId="10" fontId="5" fillId="3" borderId="24" xfId="0" applyNumberFormat="1" applyFont="1" applyFill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center" vertical="center" wrapText="1"/>
    </xf>
    <xf numFmtId="10" fontId="4" fillId="3" borderId="2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4" fillId="3" borderId="14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5" fillId="3" borderId="14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3" borderId="21" xfId="0" applyNumberFormat="1" applyFont="1" applyFill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5" fillId="3" borderId="22" xfId="0" applyNumberFormat="1" applyFont="1" applyFill="1" applyBorder="1" applyAlignment="1">
      <alignment horizontal="center" vertical="center" wrapText="1"/>
    </xf>
    <xf numFmtId="10" fontId="4" fillId="3" borderId="21" xfId="0" applyNumberFormat="1" applyFont="1" applyFill="1" applyBorder="1" applyAlignment="1">
      <alignment horizontal="center" vertical="center" wrapText="1"/>
    </xf>
    <xf numFmtId="10" fontId="4" fillId="3" borderId="13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5" fillId="3" borderId="13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5" fillId="3" borderId="15" xfId="0" applyNumberFormat="1" applyFont="1" applyFill="1" applyBorder="1" applyAlignment="1">
      <alignment horizontal="center" vertical="center" wrapText="1"/>
    </xf>
    <xf numFmtId="10" fontId="4" fillId="3" borderId="26" xfId="0" applyNumberFormat="1" applyFont="1" applyFill="1" applyBorder="1" applyAlignment="1">
      <alignment horizontal="center" vertical="center" wrapText="1"/>
    </xf>
    <xf numFmtId="10" fontId="4" fillId="3" borderId="14" xfId="0" applyNumberFormat="1" applyFont="1" applyFill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5" fillId="3" borderId="2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10" fontId="3" fillId="5" borderId="1" xfId="0" applyNumberFormat="1" applyFont="1" applyFill="1" applyBorder="1" applyAlignment="1">
      <alignment horizontal="center" vertical="center" wrapText="1"/>
    </xf>
    <xf numFmtId="4" fontId="3" fillId="5" borderId="8" xfId="0" applyNumberFormat="1" applyFont="1" applyFill="1" applyBorder="1" applyAlignment="1">
      <alignment horizontal="center" vertical="center" wrapText="1"/>
    </xf>
    <xf numFmtId="4" fontId="4" fillId="3" borderId="25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3" borderId="27" xfId="0" applyNumberFormat="1" applyFont="1" applyFill="1" applyBorder="1" applyAlignment="1">
      <alignment horizontal="center" vertical="center" wrapText="1"/>
    </xf>
    <xf numFmtId="4" fontId="3" fillId="9" borderId="8" xfId="0" applyNumberFormat="1" applyFont="1" applyFill="1" applyBorder="1" applyAlignment="1">
      <alignment horizontal="center" vertical="center" wrapText="1"/>
    </xf>
    <xf numFmtId="4" fontId="3" fillId="9" borderId="1" xfId="0" applyNumberFormat="1" applyFont="1" applyFill="1" applyBorder="1" applyAlignment="1">
      <alignment horizontal="center" vertical="center" wrapText="1"/>
    </xf>
    <xf numFmtId="10" fontId="3" fillId="9" borderId="1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10" fontId="2" fillId="5" borderId="8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10" fontId="4" fillId="4" borderId="8" xfId="0" applyNumberFormat="1" applyFont="1" applyFill="1" applyBorder="1" applyAlignment="1">
      <alignment horizontal="center" vertical="center" wrapText="1"/>
    </xf>
    <xf numFmtId="4" fontId="5" fillId="3" borderId="28" xfId="0" applyNumberFormat="1" applyFont="1" applyFill="1" applyBorder="1" applyAlignment="1">
      <alignment horizontal="center" vertical="center" wrapText="1"/>
    </xf>
    <xf numFmtId="10" fontId="4" fillId="3" borderId="28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5" fillId="3" borderId="30" xfId="0" applyNumberFormat="1" applyFont="1" applyFill="1" applyBorder="1" applyAlignment="1">
      <alignment horizontal="center" vertical="center" wrapText="1"/>
    </xf>
    <xf numFmtId="10" fontId="4" fillId="3" borderId="30" xfId="0" applyNumberFormat="1" applyFont="1" applyFill="1" applyBorder="1" applyAlignment="1">
      <alignment horizontal="center" vertical="center" wrapText="1"/>
    </xf>
    <xf numFmtId="10" fontId="4" fillId="3" borderId="8" xfId="0" applyNumberFormat="1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9" borderId="8" xfId="0" applyNumberFormat="1" applyFont="1" applyFill="1" applyBorder="1" applyAlignment="1">
      <alignment horizontal="center" vertical="center" wrapText="1"/>
    </xf>
    <xf numFmtId="10" fontId="4" fillId="9" borderId="8" xfId="0" applyNumberFormat="1" applyFont="1" applyFill="1" applyBorder="1" applyAlignment="1">
      <alignment horizontal="center" vertical="center" wrapText="1"/>
    </xf>
    <xf numFmtId="4" fontId="11" fillId="5" borderId="8" xfId="0" applyNumberFormat="1" applyFont="1" applyFill="1" applyBorder="1" applyAlignment="1">
      <alignment horizontal="center" vertical="center" wrapText="1"/>
    </xf>
    <xf numFmtId="10" fontId="11" fillId="5" borderId="8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5" fillId="3" borderId="27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10" fontId="4" fillId="3" borderId="31" xfId="0" applyNumberFormat="1" applyFont="1" applyFill="1" applyBorder="1" applyAlignment="1">
      <alignment horizontal="center" vertical="center" wrapText="1"/>
    </xf>
    <xf numFmtId="4" fontId="4" fillId="0" borderId="22" xfId="0" applyNumberFormat="1" applyFont="1" applyFill="1" applyBorder="1" applyAlignment="1">
      <alignment horizontal="center" vertical="center" wrapText="1"/>
    </xf>
    <xf numFmtId="4" fontId="5" fillId="3" borderId="25" xfId="0" applyNumberFormat="1" applyFont="1" applyFill="1" applyBorder="1" applyAlignment="1">
      <alignment horizontal="center" vertical="center" wrapText="1"/>
    </xf>
    <xf numFmtId="10" fontId="4" fillId="3" borderId="29" xfId="0" applyNumberFormat="1" applyFont="1" applyFill="1" applyBorder="1" applyAlignment="1">
      <alignment horizontal="center" vertical="center" wrapText="1"/>
    </xf>
    <xf numFmtId="4" fontId="5" fillId="3" borderId="16" xfId="0" applyNumberFormat="1" applyFont="1" applyFill="1" applyBorder="1" applyAlignment="1">
      <alignment horizontal="center" vertical="center" wrapText="1"/>
    </xf>
    <xf numFmtId="4" fontId="4" fillId="3" borderId="16" xfId="0" applyNumberFormat="1" applyFont="1" applyFill="1" applyBorder="1" applyAlignment="1">
      <alignment horizontal="center" vertical="center" wrapText="1"/>
    </xf>
    <xf numFmtId="4" fontId="5" fillId="0" borderId="2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0" fontId="1" fillId="3" borderId="29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4" fontId="5" fillId="3" borderId="33" xfId="0" applyNumberFormat="1" applyFont="1" applyFill="1" applyBorder="1" applyAlignment="1">
      <alignment horizontal="center" vertical="center" wrapText="1"/>
    </xf>
    <xf numFmtId="10" fontId="4" fillId="3" borderId="32" xfId="0" applyNumberFormat="1" applyFont="1" applyFill="1" applyBorder="1" applyAlignment="1">
      <alignment horizontal="center" vertical="center" wrapText="1"/>
    </xf>
    <xf numFmtId="4" fontId="5" fillId="3" borderId="31" xfId="0" applyNumberFormat="1" applyFont="1" applyFill="1" applyBorder="1" applyAlignment="1">
      <alignment horizontal="center" vertical="center" wrapText="1"/>
    </xf>
    <xf numFmtId="4" fontId="5" fillId="3" borderId="32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10" fontId="4" fillId="3" borderId="27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10" fontId="4" fillId="0" borderId="29" xfId="0" applyNumberFormat="1" applyFont="1" applyBorder="1" applyAlignment="1">
      <alignment horizontal="center" vertical="center" wrapText="1"/>
    </xf>
    <xf numFmtId="4" fontId="5" fillId="3" borderId="29" xfId="0" applyNumberFormat="1" applyFont="1" applyFill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3" borderId="38" xfId="0" applyNumberFormat="1" applyFont="1" applyFill="1" applyBorder="1" applyAlignment="1">
      <alignment horizontal="center" vertical="center" wrapText="1"/>
    </xf>
    <xf numFmtId="10" fontId="4" fillId="0" borderId="30" xfId="0" applyNumberFormat="1" applyFont="1" applyBorder="1" applyAlignment="1">
      <alignment horizontal="center" vertical="center" wrapText="1"/>
    </xf>
    <xf numFmtId="4" fontId="4" fillId="0" borderId="31" xfId="0" applyNumberFormat="1" applyFont="1" applyBorder="1" applyAlignment="1">
      <alignment horizontal="center" vertical="center" wrapText="1"/>
    </xf>
    <xf numFmtId="10" fontId="4" fillId="0" borderId="28" xfId="0" applyNumberFormat="1" applyFont="1" applyBorder="1" applyAlignment="1">
      <alignment horizontal="center" vertical="center" wrapText="1"/>
    </xf>
    <xf numFmtId="10" fontId="5" fillId="0" borderId="29" xfId="0" applyNumberFormat="1" applyFont="1" applyBorder="1" applyAlignment="1">
      <alignment horizontal="center" vertical="center" wrapText="1"/>
    </xf>
    <xf numFmtId="4" fontId="4" fillId="0" borderId="28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4" fontId="5" fillId="3" borderId="26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10" fontId="4" fillId="0" borderId="27" xfId="0" applyNumberFormat="1" applyFont="1" applyBorder="1" applyAlignment="1">
      <alignment horizontal="center" vertical="center" wrapText="1"/>
    </xf>
    <xf numFmtId="10" fontId="4" fillId="0" borderId="25" xfId="0" applyNumberFormat="1" applyFont="1" applyBorder="1" applyAlignment="1">
      <alignment horizontal="center" vertical="center" wrapText="1"/>
    </xf>
    <xf numFmtId="10" fontId="4" fillId="0" borderId="16" xfId="0" applyNumberFormat="1" applyFont="1" applyBorder="1" applyAlignment="1">
      <alignment horizontal="center" vertical="center" wrapText="1"/>
    </xf>
    <xf numFmtId="4" fontId="4" fillId="3" borderId="13" xfId="0" applyNumberFormat="1" applyFont="1" applyFill="1" applyBorder="1" applyAlignment="1">
      <alignment horizontal="center" vertical="center" wrapText="1"/>
    </xf>
    <xf numFmtId="4" fontId="4" fillId="3" borderId="18" xfId="0" applyNumberFormat="1" applyFont="1" applyFill="1" applyBorder="1" applyAlignment="1">
      <alignment horizontal="center" vertical="center" wrapText="1"/>
    </xf>
    <xf numFmtId="10" fontId="4" fillId="0" borderId="8" xfId="0" applyNumberFormat="1" applyFont="1" applyBorder="1" applyAlignment="1">
      <alignment horizontal="center" vertical="center" wrapText="1"/>
    </xf>
    <xf numFmtId="4" fontId="4" fillId="0" borderId="33" xfId="0" applyNumberFormat="1" applyFont="1" applyBorder="1" applyAlignment="1">
      <alignment horizontal="center" vertical="center" wrapText="1"/>
    </xf>
    <xf numFmtId="4" fontId="4" fillId="3" borderId="17" xfId="0" applyNumberFormat="1" applyFont="1" applyFill="1" applyBorder="1" applyAlignment="1">
      <alignment horizontal="center" vertical="center" wrapText="1"/>
    </xf>
    <xf numFmtId="4" fontId="4" fillId="3" borderId="31" xfId="0" applyNumberFormat="1" applyFont="1" applyFill="1" applyBorder="1" applyAlignment="1">
      <alignment horizontal="center" vertical="center" wrapText="1"/>
    </xf>
    <xf numFmtId="4" fontId="4" fillId="3" borderId="38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28" xfId="0" applyNumberFormat="1" applyFont="1" applyFill="1" applyBorder="1" applyAlignment="1">
      <alignment horizontal="center" vertical="center" wrapText="1"/>
    </xf>
    <xf numFmtId="4" fontId="4" fillId="3" borderId="29" xfId="0" applyNumberFormat="1" applyFont="1" applyFill="1" applyBorder="1" applyAlignment="1">
      <alignment horizontal="center" vertical="center" wrapText="1"/>
    </xf>
    <xf numFmtId="4" fontId="4" fillId="0" borderId="30" xfId="0" applyNumberFormat="1" applyFont="1" applyBorder="1" applyAlignment="1">
      <alignment horizontal="center" vertical="center" wrapText="1"/>
    </xf>
    <xf numFmtId="4" fontId="4" fillId="0" borderId="38" xfId="0" applyNumberFormat="1" applyFont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11" xfId="0" applyNumberFormat="1" applyFont="1" applyFill="1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horizontal="center" vertical="center" wrapText="1"/>
    </xf>
    <xf numFmtId="4" fontId="11" fillId="5" borderId="6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4" fillId="3" borderId="30" xfId="0" applyNumberFormat="1" applyFont="1" applyFill="1" applyBorder="1" applyAlignment="1">
      <alignment horizontal="center" vertical="center" wrapText="1"/>
    </xf>
    <xf numFmtId="4" fontId="4" fillId="0" borderId="37" xfId="0" applyNumberFormat="1" applyFont="1" applyFill="1" applyBorder="1" applyAlignment="1">
      <alignment horizontal="center" vertical="center" wrapText="1"/>
    </xf>
    <xf numFmtId="4" fontId="4" fillId="0" borderId="31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3" borderId="37" xfId="0" applyNumberFormat="1" applyFont="1" applyFill="1" applyBorder="1" applyAlignment="1">
      <alignment horizontal="center" vertical="center" wrapText="1"/>
    </xf>
    <xf numFmtId="4" fontId="4" fillId="0" borderId="34" xfId="0" applyNumberFormat="1" applyFont="1" applyBorder="1" applyAlignment="1">
      <alignment horizontal="center" vertical="center" wrapText="1"/>
    </xf>
    <xf numFmtId="4" fontId="5" fillId="0" borderId="26" xfId="0" applyNumberFormat="1" applyFont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 wrapText="1"/>
    </xf>
    <xf numFmtId="10" fontId="4" fillId="5" borderId="8" xfId="0" applyNumberFormat="1" applyFont="1" applyFill="1" applyBorder="1" applyAlignment="1">
      <alignment horizontal="center" vertical="center" wrapText="1"/>
    </xf>
    <xf numFmtId="10" fontId="3" fillId="5" borderId="8" xfId="0" applyNumberFormat="1" applyFont="1" applyFill="1" applyBorder="1" applyAlignment="1">
      <alignment horizontal="center" vertical="center" wrapText="1"/>
    </xf>
    <xf numFmtId="4" fontId="5" fillId="3" borderId="23" xfId="0" applyNumberFormat="1" applyFont="1" applyFill="1" applyBorder="1" applyAlignment="1">
      <alignment horizontal="center" vertical="center" wrapText="1"/>
    </xf>
    <xf numFmtId="10" fontId="4" fillId="0" borderId="31" xfId="0" applyNumberFormat="1" applyFont="1" applyBorder="1" applyAlignment="1">
      <alignment horizontal="center" vertical="center" wrapText="1"/>
    </xf>
    <xf numFmtId="10" fontId="37" fillId="4" borderId="8" xfId="0" applyNumberFormat="1" applyFont="1" applyFill="1" applyBorder="1" applyAlignment="1">
      <alignment horizontal="center" vertical="center" wrapText="1"/>
    </xf>
    <xf numFmtId="10" fontId="38" fillId="0" borderId="8" xfId="0" applyNumberFormat="1" applyFont="1" applyBorder="1" applyAlignment="1">
      <alignment horizontal="center" vertical="center"/>
    </xf>
    <xf numFmtId="10" fontId="4" fillId="4" borderId="1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10" fontId="1" fillId="5" borderId="8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10" fontId="2" fillId="6" borderId="8" xfId="0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4" fontId="31" fillId="9" borderId="1" xfId="0" applyNumberFormat="1" applyFont="1" applyFill="1" applyBorder="1" applyAlignment="1">
      <alignment horizontal="center" vertical="center" wrapText="1"/>
    </xf>
    <xf numFmtId="4" fontId="18" fillId="0" borderId="13" xfId="0" applyNumberFormat="1" applyFont="1" applyFill="1" applyBorder="1" applyAlignment="1">
      <alignment horizontal="center" vertical="center" wrapText="1"/>
    </xf>
    <xf numFmtId="4" fontId="18" fillId="0" borderId="15" xfId="0" applyNumberFormat="1" applyFont="1" applyFill="1" applyBorder="1" applyAlignment="1">
      <alignment horizontal="center" vertical="center" wrapText="1"/>
    </xf>
    <xf numFmtId="4" fontId="32" fillId="5" borderId="1" xfId="0" applyNumberFormat="1" applyFont="1" applyFill="1" applyBorder="1" applyAlignment="1">
      <alignment horizontal="center" vertical="center" wrapText="1"/>
    </xf>
    <xf numFmtId="4" fontId="18" fillId="3" borderId="24" xfId="0" applyNumberFormat="1" applyFont="1" applyFill="1" applyBorder="1" applyAlignment="1">
      <alignment horizontal="center" vertical="center" wrapText="1"/>
    </xf>
    <xf numFmtId="4" fontId="18" fillId="3" borderId="15" xfId="0" applyNumberFormat="1" applyFont="1" applyFill="1" applyBorder="1" applyAlignment="1">
      <alignment horizontal="center" vertical="center" wrapText="1"/>
    </xf>
    <xf numFmtId="4" fontId="40" fillId="3" borderId="14" xfId="0" applyNumberFormat="1" applyFont="1" applyFill="1" applyBorder="1" applyAlignment="1">
      <alignment horizontal="center" vertical="center" wrapText="1"/>
    </xf>
    <xf numFmtId="4" fontId="17" fillId="0" borderId="26" xfId="0" applyNumberFormat="1" applyFont="1" applyBorder="1" applyAlignment="1">
      <alignment horizontal="center" vertical="center" wrapText="1"/>
    </xf>
    <xf numFmtId="4" fontId="18" fillId="3" borderId="26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8" fillId="3" borderId="23" xfId="0" applyNumberFormat="1" applyFont="1" applyFill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3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9" fillId="3" borderId="0" xfId="0" applyFont="1" applyFill="1" applyAlignment="1">
      <alignment horizontal="center" vertical="center"/>
    </xf>
    <xf numFmtId="4" fontId="36" fillId="3" borderId="0" xfId="0" applyNumberFormat="1" applyFont="1" applyFill="1" applyAlignment="1">
      <alignment horizontal="left" vertical="center" wrapText="1"/>
    </xf>
    <xf numFmtId="4" fontId="36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/>
    </xf>
    <xf numFmtId="4" fontId="17" fillId="0" borderId="0" xfId="0" applyNumberFormat="1" applyFont="1" applyAlignment="1">
      <alignment horizontal="center" vertical="center"/>
    </xf>
    <xf numFmtId="0" fontId="4" fillId="0" borderId="17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vertical="center" wrapText="1"/>
    </xf>
    <xf numFmtId="0" fontId="4" fillId="0" borderId="21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31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 wrapText="1"/>
    </xf>
    <xf numFmtId="4" fontId="4" fillId="11" borderId="8" xfId="0" applyNumberFormat="1" applyFont="1" applyFill="1" applyBorder="1" applyAlignment="1">
      <alignment horizontal="center" vertical="center" wrapText="1"/>
    </xf>
    <xf numFmtId="10" fontId="4" fillId="11" borderId="8" xfId="0" applyNumberFormat="1" applyFont="1" applyFill="1" applyBorder="1" applyAlignment="1">
      <alignment horizontal="center" vertical="center" wrapText="1"/>
    </xf>
    <xf numFmtId="4" fontId="18" fillId="11" borderId="1" xfId="0" applyNumberFormat="1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left" vertical="top" wrapText="1"/>
    </xf>
    <xf numFmtId="4" fontId="4" fillId="11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9" fillId="9" borderId="19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4" fontId="41" fillId="3" borderId="0" xfId="0" applyNumberFormat="1" applyFont="1" applyFill="1" applyAlignment="1">
      <alignment horizontal="center" vertical="center"/>
    </xf>
    <xf numFmtId="4" fontId="26" fillId="0" borderId="0" xfId="0" applyNumberFormat="1" applyFont="1" applyAlignment="1">
      <alignment horizontal="center" vertical="center"/>
    </xf>
    <xf numFmtId="4" fontId="42" fillId="3" borderId="0" xfId="0" applyNumberFormat="1" applyFont="1" applyFill="1" applyAlignment="1">
      <alignment horizontal="center"/>
    </xf>
    <xf numFmtId="4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 vertical="center"/>
    </xf>
    <xf numFmtId="10" fontId="4" fillId="3" borderId="38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10" fontId="2" fillId="7" borderId="1" xfId="0" applyNumberFormat="1" applyFont="1" applyFill="1" applyBorder="1" applyAlignment="1">
      <alignment horizontal="center" vertical="center" wrapText="1"/>
    </xf>
    <xf numFmtId="4" fontId="29" fillId="7" borderId="1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10" fontId="4" fillId="7" borderId="1" xfId="0" applyNumberFormat="1" applyFont="1" applyFill="1" applyBorder="1" applyAlignment="1">
      <alignment horizontal="center" vertical="center" wrapText="1"/>
    </xf>
    <xf numFmtId="4" fontId="18" fillId="7" borderId="1" xfId="0" applyNumberFormat="1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5" borderId="7" xfId="0" applyFont="1" applyFill="1" applyBorder="1" applyAlignment="1">
      <alignment horizontal="center" vertical="top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top" wrapText="1"/>
    </xf>
    <xf numFmtId="0" fontId="3" fillId="5" borderId="7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36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6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top" wrapText="1"/>
    </xf>
    <xf numFmtId="0" fontId="4" fillId="3" borderId="24" xfId="0" applyFont="1" applyFill="1" applyBorder="1" applyAlignment="1">
      <alignment horizontal="center" vertical="top" wrapText="1"/>
    </xf>
    <xf numFmtId="0" fontId="4" fillId="3" borderId="26" xfId="0" applyFont="1" applyFill="1" applyBorder="1" applyAlignment="1">
      <alignment horizontal="center" vertical="top" wrapText="1"/>
    </xf>
    <xf numFmtId="0" fontId="3" fillId="9" borderId="8" xfId="0" applyFont="1" applyFill="1" applyBorder="1" applyAlignment="1">
      <alignment horizontal="center" vertical="top" wrapText="1"/>
    </xf>
    <xf numFmtId="0" fontId="3" fillId="9" borderId="6" xfId="0" applyFont="1" applyFill="1" applyBorder="1" applyAlignment="1">
      <alignment horizontal="center" vertical="top" wrapText="1"/>
    </xf>
    <xf numFmtId="0" fontId="3" fillId="9" borderId="7" xfId="0" applyFont="1" applyFill="1" applyBorder="1" applyAlignment="1">
      <alignment horizontal="center" vertical="top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top" wrapText="1"/>
    </xf>
    <xf numFmtId="0" fontId="3" fillId="9" borderId="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0" fontId="20" fillId="3" borderId="24" xfId="0" applyFont="1" applyFill="1" applyBorder="1" applyAlignment="1">
      <alignment horizontal="center" vertical="center" wrapText="1"/>
    </xf>
    <xf numFmtId="0" fontId="20" fillId="3" borderId="26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4" fontId="18" fillId="3" borderId="23" xfId="0" applyNumberFormat="1" applyFont="1" applyFill="1" applyBorder="1" applyAlignment="1">
      <alignment horizontal="center" vertical="center" wrapText="1"/>
    </xf>
    <xf numFmtId="4" fontId="18" fillId="3" borderId="24" xfId="0" applyNumberFormat="1" applyFont="1" applyFill="1" applyBorder="1" applyAlignment="1">
      <alignment horizontal="center" vertical="center" wrapText="1"/>
    </xf>
    <xf numFmtId="4" fontId="18" fillId="3" borderId="26" xfId="0" applyNumberFormat="1" applyFont="1" applyFill="1" applyBorder="1" applyAlignment="1">
      <alignment horizontal="center" vertical="center" wrapText="1"/>
    </xf>
    <xf numFmtId="4" fontId="18" fillId="3" borderId="22" xfId="0" applyNumberFormat="1" applyFont="1" applyFill="1" applyBorder="1" applyAlignment="1">
      <alignment horizontal="center" vertical="center" wrapText="1"/>
    </xf>
    <xf numFmtId="4" fontId="17" fillId="3" borderId="21" xfId="0" applyNumberFormat="1" applyFont="1" applyFill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 wrapText="1"/>
    </xf>
    <xf numFmtId="4" fontId="17" fillId="3" borderId="2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top" wrapText="1"/>
    </xf>
    <xf numFmtId="0" fontId="4" fillId="7" borderId="6" xfId="0" applyFont="1" applyFill="1" applyBorder="1" applyAlignment="1">
      <alignment horizontal="center" vertical="top" wrapText="1"/>
    </xf>
    <xf numFmtId="0" fontId="4" fillId="7" borderId="7" xfId="0" applyFont="1" applyFill="1" applyBorder="1" applyAlignment="1">
      <alignment horizontal="center" vertical="top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top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4" fillId="3" borderId="23" xfId="0" applyNumberFormat="1" applyFont="1" applyFill="1" applyBorder="1" applyAlignment="1">
      <alignment horizontal="center" vertical="center" wrapText="1"/>
    </xf>
    <xf numFmtId="4" fontId="4" fillId="3" borderId="26" xfId="0" applyNumberFormat="1" applyFont="1" applyFill="1" applyBorder="1" applyAlignment="1">
      <alignment horizontal="center" vertical="center" wrapText="1"/>
    </xf>
    <xf numFmtId="10" fontId="4" fillId="3" borderId="23" xfId="0" applyNumberFormat="1" applyFont="1" applyFill="1" applyBorder="1" applyAlignment="1">
      <alignment horizontal="center" vertical="center" wrapText="1"/>
    </xf>
    <xf numFmtId="10" fontId="4" fillId="3" borderId="26" xfId="0" applyNumberFormat="1" applyFont="1" applyFill="1" applyBorder="1" applyAlignment="1">
      <alignment horizontal="center" vertical="center" wrapText="1"/>
    </xf>
    <xf numFmtId="4" fontId="18" fillId="0" borderId="23" xfId="0" applyNumberFormat="1" applyFont="1" applyFill="1" applyBorder="1" applyAlignment="1">
      <alignment horizontal="center" vertical="center" wrapText="1"/>
    </xf>
    <xf numFmtId="4" fontId="18" fillId="0" borderId="24" xfId="0" applyNumberFormat="1" applyFont="1" applyFill="1" applyBorder="1" applyAlignment="1">
      <alignment horizontal="center" vertical="center" wrapText="1"/>
    </xf>
    <xf numFmtId="4" fontId="18" fillId="0" borderId="26" xfId="0" applyNumberFormat="1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top" wrapText="1"/>
    </xf>
    <xf numFmtId="0" fontId="4" fillId="9" borderId="11" xfId="0" applyFont="1" applyFill="1" applyBorder="1" applyAlignment="1">
      <alignment horizontal="center" vertical="top" wrapText="1"/>
    </xf>
    <xf numFmtId="0" fontId="4" fillId="9" borderId="12" xfId="0" applyFont="1" applyFill="1" applyBorder="1" applyAlignment="1">
      <alignment horizontal="center" vertical="top" wrapText="1"/>
    </xf>
    <xf numFmtId="0" fontId="4" fillId="9" borderId="38" xfId="0" applyFont="1" applyFill="1" applyBorder="1" applyAlignment="1">
      <alignment horizontal="center" vertical="top" wrapText="1"/>
    </xf>
    <xf numFmtId="0" fontId="4" fillId="9" borderId="19" xfId="0" applyFont="1" applyFill="1" applyBorder="1" applyAlignment="1">
      <alignment horizontal="center" vertical="top" wrapText="1"/>
    </xf>
    <xf numFmtId="0" fontId="4" fillId="9" borderId="20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589"/>
  <sheetViews>
    <sheetView tabSelected="1" topLeftCell="A572" zoomScaleNormal="100" workbookViewId="0">
      <selection activeCell="C595" sqref="C595"/>
    </sheetView>
  </sheetViews>
  <sheetFormatPr defaultRowHeight="15" x14ac:dyDescent="0.25"/>
  <cols>
    <col min="1" max="1" width="2.7109375" customWidth="1"/>
    <col min="2" max="2" width="15" customWidth="1"/>
    <col min="3" max="3" width="23" style="2" customWidth="1"/>
    <col min="4" max="4" width="11.140625" style="1" customWidth="1"/>
    <col min="5" max="5" width="7.7109375" style="1" customWidth="1"/>
    <col min="6" max="6" width="8.42578125" style="1" customWidth="1"/>
    <col min="7" max="7" width="29.28515625" customWidth="1"/>
    <col min="8" max="8" width="17.140625" style="1" customWidth="1"/>
    <col min="9" max="9" width="25" style="9" customWidth="1"/>
    <col min="10" max="10" width="17.140625" style="464" customWidth="1"/>
    <col min="11" max="11" width="15.42578125" style="206" customWidth="1"/>
    <col min="12" max="12" width="15.42578125" style="215" customWidth="1"/>
    <col min="13" max="13" width="17.140625" style="289" customWidth="1"/>
    <col min="14" max="14" width="11.7109375" bestFit="1" customWidth="1"/>
  </cols>
  <sheetData>
    <row r="1" spans="2:14" ht="18.75" customHeight="1" x14ac:dyDescent="0.3">
      <c r="B1" s="608" t="s">
        <v>612</v>
      </c>
      <c r="C1" s="608"/>
    </row>
    <row r="2" spans="2:14" ht="18.75" x14ac:dyDescent="0.3">
      <c r="B2" s="590" t="s">
        <v>490</v>
      </c>
      <c r="C2" s="590"/>
      <c r="D2" s="590"/>
      <c r="E2" s="590"/>
      <c r="F2" s="590"/>
      <c r="G2" s="590"/>
      <c r="H2" s="590"/>
      <c r="I2" s="477"/>
      <c r="J2" s="260"/>
      <c r="K2" s="478"/>
      <c r="L2" s="612" t="s">
        <v>605</v>
      </c>
      <c r="M2" s="612"/>
      <c r="N2" s="197"/>
    </row>
    <row r="3" spans="2:14" ht="18.75" x14ac:dyDescent="0.3">
      <c r="I3" s="479"/>
      <c r="J3" s="261"/>
      <c r="K3" s="480"/>
      <c r="L3" s="480"/>
      <c r="M3" s="261"/>
    </row>
    <row r="4" spans="2:14" ht="18.75" customHeight="1" x14ac:dyDescent="0.25">
      <c r="B4" s="591" t="s">
        <v>604</v>
      </c>
      <c r="C4" s="591"/>
      <c r="D4" s="591"/>
      <c r="E4" s="591"/>
      <c r="F4" s="591"/>
      <c r="G4" s="591"/>
      <c r="H4" s="591"/>
      <c r="I4" s="591"/>
      <c r="J4" s="591"/>
      <c r="K4" s="591"/>
      <c r="L4" s="591"/>
      <c r="M4" s="591"/>
    </row>
    <row r="5" spans="2:14" ht="18.75" x14ac:dyDescent="0.3">
      <c r="B5" s="197"/>
      <c r="C5" s="197"/>
      <c r="D5" s="501"/>
      <c r="E5" s="197"/>
      <c r="F5" s="197"/>
      <c r="G5" s="197"/>
      <c r="H5" s="197"/>
      <c r="I5" s="479"/>
      <c r="J5" s="261"/>
      <c r="K5" s="480"/>
      <c r="L5" s="480"/>
      <c r="M5" s="261"/>
    </row>
    <row r="6" spans="2:14" s="177" customFormat="1" x14ac:dyDescent="0.25">
      <c r="B6" s="295"/>
      <c r="C6" s="296"/>
      <c r="D6" s="206"/>
      <c r="E6" s="206"/>
      <c r="F6" s="206"/>
      <c r="G6" s="297"/>
      <c r="H6" s="205"/>
      <c r="I6" s="481"/>
      <c r="J6" s="482"/>
      <c r="K6" s="482"/>
      <c r="L6" s="520" t="s">
        <v>592</v>
      </c>
      <c r="M6" s="515">
        <f>M13-M134</f>
        <v>-7350.8390000000363</v>
      </c>
    </row>
    <row r="7" spans="2:14" s="177" customFormat="1" ht="15.75" x14ac:dyDescent="0.25">
      <c r="B7" s="298"/>
      <c r="J7" s="262"/>
      <c r="K7" s="482"/>
      <c r="L7" s="516" t="s">
        <v>609</v>
      </c>
      <c r="M7" s="517">
        <f>M12-M133</f>
        <v>3.0000001424923539E-3</v>
      </c>
    </row>
    <row r="8" spans="2:14" s="177" customFormat="1" ht="15.75" thickBot="1" x14ac:dyDescent="0.3">
      <c r="B8" s="178" t="s">
        <v>0</v>
      </c>
      <c r="C8" s="179"/>
      <c r="D8" s="180"/>
      <c r="E8" s="180"/>
      <c r="F8" s="180"/>
      <c r="G8" s="178"/>
      <c r="H8" s="180"/>
      <c r="I8" s="483"/>
      <c r="J8" s="484"/>
      <c r="K8" s="485"/>
      <c r="L8" s="518"/>
      <c r="M8" s="519"/>
    </row>
    <row r="9" spans="2:14" s="177" customFormat="1" ht="46.5" customHeight="1" thickBot="1" x14ac:dyDescent="0.3">
      <c r="B9" s="181" t="s">
        <v>1</v>
      </c>
      <c r="C9" s="182" t="s">
        <v>306</v>
      </c>
      <c r="D9" s="502" t="s">
        <v>307</v>
      </c>
      <c r="E9" s="184" t="s">
        <v>360</v>
      </c>
      <c r="F9" s="184" t="s">
        <v>361</v>
      </c>
      <c r="G9" s="182" t="s">
        <v>308</v>
      </c>
      <c r="H9" s="183" t="s">
        <v>309</v>
      </c>
      <c r="I9" s="184" t="s">
        <v>310</v>
      </c>
      <c r="J9" s="326" t="s">
        <v>553</v>
      </c>
      <c r="K9" s="326" t="s">
        <v>516</v>
      </c>
      <c r="L9" s="326" t="s">
        <v>507</v>
      </c>
      <c r="M9" s="263" t="s">
        <v>568</v>
      </c>
    </row>
    <row r="10" spans="2:14" s="177" customFormat="1" ht="10.5" hidden="1" customHeight="1" thickBot="1" x14ac:dyDescent="0.3">
      <c r="B10" s="609"/>
      <c r="C10" s="610"/>
      <c r="D10" s="610"/>
      <c r="E10" s="610"/>
      <c r="F10" s="610"/>
      <c r="G10" s="610"/>
      <c r="H10" s="610"/>
      <c r="I10" s="610"/>
      <c r="J10" s="610"/>
      <c r="K10" s="610"/>
      <c r="L10" s="610"/>
      <c r="M10" s="611"/>
    </row>
    <row r="11" spans="2:14" s="96" customFormat="1" ht="19.5" customHeight="1" thickBot="1" x14ac:dyDescent="0.3">
      <c r="B11" s="599" t="s">
        <v>354</v>
      </c>
      <c r="C11" s="600"/>
      <c r="D11" s="600"/>
      <c r="E11" s="600"/>
      <c r="F11" s="600"/>
      <c r="G11" s="600"/>
      <c r="H11" s="600"/>
      <c r="I11" s="601"/>
      <c r="J11" s="522">
        <f>J12+J13</f>
        <v>1044829.8799999999</v>
      </c>
      <c r="K11" s="522">
        <f>K12+K13</f>
        <v>812211.97566</v>
      </c>
      <c r="L11" s="523">
        <f>K11/J11</f>
        <v>0.77736289055975316</v>
      </c>
      <c r="M11" s="524">
        <f>M12+M13</f>
        <v>1158301.67</v>
      </c>
    </row>
    <row r="12" spans="2:14" ht="19.5" customHeight="1" thickBot="1" x14ac:dyDescent="0.3">
      <c r="B12" s="95" t="s">
        <v>2</v>
      </c>
      <c r="C12" s="59" t="s">
        <v>3</v>
      </c>
      <c r="D12" s="115"/>
      <c r="E12" s="115" t="s">
        <v>364</v>
      </c>
      <c r="F12" s="115" t="s">
        <v>355</v>
      </c>
      <c r="G12" s="592" t="s">
        <v>385</v>
      </c>
      <c r="H12" s="593"/>
      <c r="I12" s="594"/>
      <c r="J12" s="525">
        <f>J14+J15+J17+J22+J23+J32+J36+J37+J38+J44+J45+J49+J50+J59+J60+J64+J65+J67+J72+J73+J82+J84+J85+J86+J87+J103+J104+J66+J89+J105+J71</f>
        <v>789903.60999999987</v>
      </c>
      <c r="K12" s="525">
        <f>K14+K15+K17+K22+K23+K32+K36+K37+K38+K44+K45+K49+K50+K59+K60+K64+K65+K67+K72+K73+K82+K84+K85+K86+K87+K103+K104+K66+K89+K105+K71</f>
        <v>752925.32846999995</v>
      </c>
      <c r="L12" s="526">
        <f>K12/J12</f>
        <v>0.95318633683671872</v>
      </c>
      <c r="M12" s="527">
        <f>M14+M15+M17+M22+M23+M32+M36+M37+M38+M44+M45+M49+M50+M59+M60+M64+M65+M67+M72+M73+M82+M84+M85+M86+M87+M103+M104+M66+M89+M105+M71</f>
        <v>730977.73900000006</v>
      </c>
    </row>
    <row r="13" spans="2:14" ht="19.5" customHeight="1" thickBot="1" x14ac:dyDescent="0.3">
      <c r="B13" s="95" t="s">
        <v>2</v>
      </c>
      <c r="C13" s="59" t="s">
        <v>3</v>
      </c>
      <c r="D13" s="115"/>
      <c r="E13" s="115" t="s">
        <v>362</v>
      </c>
      <c r="F13" s="115" t="s">
        <v>355</v>
      </c>
      <c r="G13" s="592" t="s">
        <v>386</v>
      </c>
      <c r="H13" s="593"/>
      <c r="I13" s="594"/>
      <c r="J13" s="525">
        <f>J68+J69+J70+J71+J74+J75+J76+J77+J78+J79+J80+J88+J90+J91+J95+J106+J107+J108+J112+J113+J122+J123+J121+J117+J99</f>
        <v>254926.27000000002</v>
      </c>
      <c r="K13" s="525">
        <f t="shared" ref="K13" si="0">K68+K69+K70+K71+K74+K75+K76+K77+K78+K79+K80+K88+K90+K91+K95+K106+K107+K108+K112+K113+K122+K123+K121+K117+K99</f>
        <v>59286.647190000003</v>
      </c>
      <c r="L13" s="526">
        <f>K13/J13</f>
        <v>0.23256389853427031</v>
      </c>
      <c r="M13" s="527">
        <f>M68+M69+M70+M74+M75+M76+M77+M78+M79+M80+M88+M90+M91+M95+M106+M107+M108+M112+M113+M122+M123+M121+M117+M99</f>
        <v>427323.93099999998</v>
      </c>
    </row>
    <row r="14" spans="2:14" ht="29.25" customHeight="1" thickBot="1" x14ac:dyDescent="0.3">
      <c r="B14" s="89" t="s">
        <v>2</v>
      </c>
      <c r="C14" s="105" t="s">
        <v>3</v>
      </c>
      <c r="D14" s="58" t="s">
        <v>4</v>
      </c>
      <c r="E14" s="106" t="s">
        <v>364</v>
      </c>
      <c r="F14" s="106" t="s">
        <v>355</v>
      </c>
      <c r="G14" s="105" t="s">
        <v>5</v>
      </c>
      <c r="H14" s="106" t="s">
        <v>511</v>
      </c>
      <c r="I14" s="225"/>
      <c r="J14" s="327">
        <v>0</v>
      </c>
      <c r="K14" s="328">
        <f>74/1000</f>
        <v>7.3999999999999996E-2</v>
      </c>
      <c r="L14" s="329">
        <v>0</v>
      </c>
      <c r="M14" s="266"/>
    </row>
    <row r="15" spans="2:14" ht="18.75" customHeight="1" thickBot="1" x14ac:dyDescent="0.3">
      <c r="B15" s="95" t="s">
        <v>2</v>
      </c>
      <c r="C15" s="59" t="s">
        <v>3</v>
      </c>
      <c r="D15" s="503" t="s">
        <v>518</v>
      </c>
      <c r="E15" s="222" t="s">
        <v>364</v>
      </c>
      <c r="F15" s="222" t="s">
        <v>355</v>
      </c>
      <c r="G15" s="222" t="s">
        <v>522</v>
      </c>
      <c r="H15" s="222" t="s">
        <v>511</v>
      </c>
      <c r="I15" s="224"/>
      <c r="J15" s="10">
        <f>J16</f>
        <v>6000</v>
      </c>
      <c r="K15" s="10">
        <f t="shared" ref="K15:M15" si="1">K16</f>
        <v>4542.0730000000003</v>
      </c>
      <c r="L15" s="227">
        <v>0.75700000000000001</v>
      </c>
      <c r="M15" s="267">
        <f t="shared" si="1"/>
        <v>15000</v>
      </c>
    </row>
    <row r="16" spans="2:14" ht="36.75" thickBot="1" x14ac:dyDescent="0.3">
      <c r="B16" s="89" t="s">
        <v>2</v>
      </c>
      <c r="C16" s="105" t="s">
        <v>3</v>
      </c>
      <c r="D16" s="58" t="s">
        <v>6</v>
      </c>
      <c r="E16" s="106" t="s">
        <v>364</v>
      </c>
      <c r="F16" s="106" t="s">
        <v>355</v>
      </c>
      <c r="G16" s="105" t="s">
        <v>7</v>
      </c>
      <c r="H16" s="106" t="s">
        <v>549</v>
      </c>
      <c r="I16" s="225"/>
      <c r="J16" s="330">
        <v>6000</v>
      </c>
      <c r="K16" s="331">
        <v>4542.0730000000003</v>
      </c>
      <c r="L16" s="332">
        <f>K16/J16</f>
        <v>0.75701216666666671</v>
      </c>
      <c r="M16" s="268">
        <v>15000</v>
      </c>
    </row>
    <row r="17" spans="2:13" ht="36.75" customHeight="1" thickBot="1" x14ac:dyDescent="0.3">
      <c r="B17" s="95" t="s">
        <v>2</v>
      </c>
      <c r="C17" s="59" t="s">
        <v>3</v>
      </c>
      <c r="D17" s="503" t="s">
        <v>524</v>
      </c>
      <c r="E17" s="222" t="s">
        <v>364</v>
      </c>
      <c r="F17" s="222" t="s">
        <v>355</v>
      </c>
      <c r="G17" s="222" t="s">
        <v>523</v>
      </c>
      <c r="H17" s="222"/>
      <c r="I17" s="224"/>
      <c r="J17" s="10">
        <f>J18+J19+J20+J21</f>
        <v>351175</v>
      </c>
      <c r="K17" s="10">
        <f>K18+K20+K21</f>
        <v>351175.08130000002</v>
      </c>
      <c r="L17" s="253">
        <f>K17/J17</f>
        <v>1.0000002315085073</v>
      </c>
      <c r="M17" s="267">
        <f>M18+M20+M21+M19</f>
        <v>368052</v>
      </c>
    </row>
    <row r="18" spans="2:13" ht="24" customHeight="1" x14ac:dyDescent="0.25">
      <c r="B18" s="60" t="s">
        <v>2</v>
      </c>
      <c r="C18" s="79" t="s">
        <v>3</v>
      </c>
      <c r="D18" s="37" t="s">
        <v>8</v>
      </c>
      <c r="E18" s="23" t="s">
        <v>364</v>
      </c>
      <c r="F18" s="23" t="s">
        <v>355</v>
      </c>
      <c r="G18" s="79" t="s">
        <v>9</v>
      </c>
      <c r="H18" s="23"/>
      <c r="I18" s="16"/>
      <c r="J18" s="333">
        <v>325756</v>
      </c>
      <c r="K18" s="334">
        <v>325756.07895</v>
      </c>
      <c r="L18" s="335">
        <f>K18/J18</f>
        <v>1.000000242359312</v>
      </c>
      <c r="M18" s="281">
        <v>368052</v>
      </c>
    </row>
    <row r="19" spans="2:13" ht="36" x14ac:dyDescent="0.25">
      <c r="B19" s="55" t="s">
        <v>2</v>
      </c>
      <c r="C19" s="41" t="s">
        <v>3</v>
      </c>
      <c r="D19" s="504" t="s">
        <v>569</v>
      </c>
      <c r="E19" s="23" t="s">
        <v>364</v>
      </c>
      <c r="F19" s="23" t="s">
        <v>355</v>
      </c>
      <c r="G19" s="79" t="s">
        <v>551</v>
      </c>
      <c r="H19" s="23"/>
      <c r="I19" s="16"/>
      <c r="J19" s="336">
        <v>0</v>
      </c>
      <c r="K19" s="334"/>
      <c r="L19" s="335" t="e">
        <f>K19/J19</f>
        <v>#DIV/0!</v>
      </c>
      <c r="M19" s="281"/>
    </row>
    <row r="20" spans="2:13" ht="24" x14ac:dyDescent="0.25">
      <c r="B20" s="55" t="s">
        <v>2</v>
      </c>
      <c r="C20" s="41" t="s">
        <v>3</v>
      </c>
      <c r="D20" s="38" t="s">
        <v>10</v>
      </c>
      <c r="E20" s="24" t="s">
        <v>364</v>
      </c>
      <c r="F20" s="24" t="s">
        <v>355</v>
      </c>
      <c r="G20" s="41" t="s">
        <v>11</v>
      </c>
      <c r="H20" s="24"/>
      <c r="I20" s="17"/>
      <c r="J20" s="336">
        <v>1000</v>
      </c>
      <c r="K20" s="337">
        <v>1000</v>
      </c>
      <c r="L20" s="335">
        <f t="shared" ref="L20:L21" si="2">K20/J20</f>
        <v>1</v>
      </c>
      <c r="M20" s="269"/>
    </row>
    <row r="21" spans="2:13" ht="24" x14ac:dyDescent="0.25">
      <c r="B21" s="55" t="s">
        <v>2</v>
      </c>
      <c r="C21" s="41" t="s">
        <v>3</v>
      </c>
      <c r="D21" s="38" t="s">
        <v>12</v>
      </c>
      <c r="E21" s="24" t="s">
        <v>364</v>
      </c>
      <c r="F21" s="24" t="s">
        <v>355</v>
      </c>
      <c r="G21" s="41" t="s">
        <v>13</v>
      </c>
      <c r="H21" s="24"/>
      <c r="I21" s="17"/>
      <c r="J21" s="336">
        <v>24419</v>
      </c>
      <c r="K21" s="337">
        <v>24419.002349999999</v>
      </c>
      <c r="L21" s="335">
        <f t="shared" si="2"/>
        <v>1.0000000962365372</v>
      </c>
      <c r="M21" s="269"/>
    </row>
    <row r="22" spans="2:13" ht="24.75" thickBot="1" x14ac:dyDescent="0.3">
      <c r="B22" s="61" t="s">
        <v>2</v>
      </c>
      <c r="C22" s="87" t="s">
        <v>3</v>
      </c>
      <c r="D22" s="39" t="s">
        <v>14</v>
      </c>
      <c r="E22" s="26" t="s">
        <v>364</v>
      </c>
      <c r="F22" s="26" t="s">
        <v>355</v>
      </c>
      <c r="G22" s="87" t="s">
        <v>496</v>
      </c>
      <c r="H22" s="26" t="s">
        <v>549</v>
      </c>
      <c r="I22" s="18"/>
      <c r="J22" s="338">
        <v>0</v>
      </c>
      <c r="K22" s="328">
        <v>0</v>
      </c>
      <c r="L22" s="329">
        <v>0</v>
      </c>
      <c r="M22" s="270"/>
    </row>
    <row r="23" spans="2:13" ht="26.25" customHeight="1" thickBot="1" x14ac:dyDescent="0.3">
      <c r="B23" s="95" t="s">
        <v>2</v>
      </c>
      <c r="C23" s="59" t="s">
        <v>3</v>
      </c>
      <c r="D23" s="503" t="s">
        <v>525</v>
      </c>
      <c r="E23" s="222" t="s">
        <v>364</v>
      </c>
      <c r="F23" s="222" t="s">
        <v>355</v>
      </c>
      <c r="G23" s="222" t="s">
        <v>530</v>
      </c>
      <c r="H23" s="30" t="s">
        <v>549</v>
      </c>
      <c r="I23" s="224"/>
      <c r="J23" s="10">
        <f>J24+J27+J31</f>
        <v>94733.22</v>
      </c>
      <c r="K23" s="10">
        <f t="shared" ref="K23" si="3">K24+K27+K31</f>
        <v>95454.34732999999</v>
      </c>
      <c r="L23" s="253">
        <f>K23/J23</f>
        <v>1.0076121906338662</v>
      </c>
      <c r="M23" s="267">
        <f>M24+M27+M31</f>
        <v>103154</v>
      </c>
    </row>
    <row r="24" spans="2:13" x14ac:dyDescent="0.25">
      <c r="B24" s="60" t="s">
        <v>2</v>
      </c>
      <c r="C24" s="79" t="s">
        <v>3</v>
      </c>
      <c r="D24" s="505" t="s">
        <v>528</v>
      </c>
      <c r="E24" s="246" t="s">
        <v>364</v>
      </c>
      <c r="F24" s="246" t="s">
        <v>355</v>
      </c>
      <c r="G24" s="137" t="s">
        <v>526</v>
      </c>
      <c r="H24" s="23" t="s">
        <v>549</v>
      </c>
      <c r="I24" s="220"/>
      <c r="J24" s="339">
        <f>J25+J26</f>
        <v>76026.559999999998</v>
      </c>
      <c r="K24" s="339">
        <f t="shared" ref="K24" si="4">K25+K26</f>
        <v>76512.993879999995</v>
      </c>
      <c r="L24" s="335">
        <f>K24/J24</f>
        <v>1.0063982097835282</v>
      </c>
      <c r="M24" s="271">
        <f>M25+M26</f>
        <v>81648</v>
      </c>
    </row>
    <row r="25" spans="2:13" x14ac:dyDescent="0.25">
      <c r="B25" s="55" t="s">
        <v>2</v>
      </c>
      <c r="C25" s="41" t="s">
        <v>3</v>
      </c>
      <c r="D25" s="38" t="s">
        <v>15</v>
      </c>
      <c r="E25" s="24" t="s">
        <v>364</v>
      </c>
      <c r="F25" s="24" t="s">
        <v>355</v>
      </c>
      <c r="G25" s="41" t="s">
        <v>16</v>
      </c>
      <c r="H25" s="24" t="s">
        <v>549</v>
      </c>
      <c r="I25" s="17"/>
      <c r="J25" s="336">
        <v>20161.21</v>
      </c>
      <c r="K25" s="340">
        <v>20448.872449999999</v>
      </c>
      <c r="L25" s="335">
        <f>K25/J25</f>
        <v>1.0142681143641676</v>
      </c>
      <c r="M25" s="269">
        <v>22148</v>
      </c>
    </row>
    <row r="26" spans="2:13" ht="24" x14ac:dyDescent="0.25">
      <c r="B26" s="55" t="s">
        <v>2</v>
      </c>
      <c r="C26" s="41" t="s">
        <v>3</v>
      </c>
      <c r="D26" s="38" t="s">
        <v>17</v>
      </c>
      <c r="E26" s="24" t="s">
        <v>364</v>
      </c>
      <c r="F26" s="24" t="s">
        <v>355</v>
      </c>
      <c r="G26" s="41" t="s">
        <v>18</v>
      </c>
      <c r="H26" s="24" t="s">
        <v>549</v>
      </c>
      <c r="I26" s="17"/>
      <c r="J26" s="341">
        <v>55865.35</v>
      </c>
      <c r="K26" s="341">
        <v>56064.121429999999</v>
      </c>
      <c r="L26" s="335">
        <f t="shared" ref="L26:L30" si="5">K26/J26</f>
        <v>1.0035580450135908</v>
      </c>
      <c r="M26" s="272">
        <v>59500</v>
      </c>
    </row>
    <row r="27" spans="2:13" x14ac:dyDescent="0.25">
      <c r="B27" s="55" t="s">
        <v>2</v>
      </c>
      <c r="C27" s="41" t="s">
        <v>3</v>
      </c>
      <c r="D27" s="506" t="s">
        <v>529</v>
      </c>
      <c r="E27" s="24" t="s">
        <v>364</v>
      </c>
      <c r="F27" s="24" t="s">
        <v>355</v>
      </c>
      <c r="G27" s="83" t="s">
        <v>527</v>
      </c>
      <c r="H27" s="24" t="s">
        <v>549</v>
      </c>
      <c r="I27" s="17"/>
      <c r="J27" s="342">
        <f>J28+J29+J30</f>
        <v>14483.33</v>
      </c>
      <c r="K27" s="342">
        <f t="shared" ref="K27" si="6">K28+K29+K30</f>
        <v>14624.58669</v>
      </c>
      <c r="L27" s="335">
        <f t="shared" si="5"/>
        <v>1.0097530533378718</v>
      </c>
      <c r="M27" s="273">
        <f>M28+M29+M30</f>
        <v>16906</v>
      </c>
    </row>
    <row r="28" spans="2:13" x14ac:dyDescent="0.25">
      <c r="B28" s="55" t="s">
        <v>2</v>
      </c>
      <c r="C28" s="41" t="s">
        <v>3</v>
      </c>
      <c r="D28" s="38" t="s">
        <v>19</v>
      </c>
      <c r="E28" s="24" t="s">
        <v>364</v>
      </c>
      <c r="F28" s="24" t="s">
        <v>355</v>
      </c>
      <c r="G28" s="41" t="s">
        <v>20</v>
      </c>
      <c r="H28" s="24" t="s">
        <v>549</v>
      </c>
      <c r="I28" s="17"/>
      <c r="J28" s="336">
        <v>5800.33</v>
      </c>
      <c r="K28" s="340">
        <v>5898.4252200000001</v>
      </c>
      <c r="L28" s="335">
        <f t="shared" si="5"/>
        <v>1.0169120067306516</v>
      </c>
      <c r="M28" s="269">
        <v>6838</v>
      </c>
    </row>
    <row r="29" spans="2:13" ht="24" x14ac:dyDescent="0.25">
      <c r="B29" s="55" t="s">
        <v>2</v>
      </c>
      <c r="C29" s="41" t="s">
        <v>3</v>
      </c>
      <c r="D29" s="38" t="s">
        <v>21</v>
      </c>
      <c r="E29" s="24" t="s">
        <v>364</v>
      </c>
      <c r="F29" s="24" t="s">
        <v>355</v>
      </c>
      <c r="G29" s="41" t="s">
        <v>22</v>
      </c>
      <c r="H29" s="24" t="s">
        <v>549</v>
      </c>
      <c r="I29" s="17"/>
      <c r="J29" s="336">
        <v>8615</v>
      </c>
      <c r="K29" s="340">
        <v>8681.6774700000005</v>
      </c>
      <c r="L29" s="335">
        <f t="shared" si="5"/>
        <v>1.0077396947185142</v>
      </c>
      <c r="M29" s="269">
        <v>10000</v>
      </c>
    </row>
    <row r="30" spans="2:13" x14ac:dyDescent="0.25">
      <c r="B30" s="55" t="s">
        <v>2</v>
      </c>
      <c r="C30" s="41" t="s">
        <v>3</v>
      </c>
      <c r="D30" s="38" t="s">
        <v>23</v>
      </c>
      <c r="E30" s="24" t="s">
        <v>364</v>
      </c>
      <c r="F30" s="24" t="s">
        <v>355</v>
      </c>
      <c r="G30" s="41" t="s">
        <v>24</v>
      </c>
      <c r="H30" s="24" t="s">
        <v>549</v>
      </c>
      <c r="I30" s="17"/>
      <c r="J30" s="336">
        <v>68</v>
      </c>
      <c r="K30" s="340">
        <v>44.484000000000002</v>
      </c>
      <c r="L30" s="335">
        <f t="shared" si="5"/>
        <v>0.65417647058823536</v>
      </c>
      <c r="M30" s="269">
        <v>68</v>
      </c>
    </row>
    <row r="31" spans="2:13" ht="24.75" thickBot="1" x14ac:dyDescent="0.3">
      <c r="B31" s="61" t="s">
        <v>2</v>
      </c>
      <c r="C31" s="87" t="s">
        <v>3</v>
      </c>
      <c r="D31" s="174" t="s">
        <v>25</v>
      </c>
      <c r="E31" s="26" t="s">
        <v>364</v>
      </c>
      <c r="F31" s="26" t="s">
        <v>355</v>
      </c>
      <c r="G31" s="87" t="s">
        <v>26</v>
      </c>
      <c r="H31" s="24" t="s">
        <v>549</v>
      </c>
      <c r="I31" s="18"/>
      <c r="J31" s="338">
        <v>4223.33</v>
      </c>
      <c r="K31" s="343">
        <v>4316.7667600000004</v>
      </c>
      <c r="L31" s="329">
        <f>K31/J31</f>
        <v>1.0221239543204061</v>
      </c>
      <c r="M31" s="270">
        <v>4600</v>
      </c>
    </row>
    <row r="32" spans="2:13" ht="15.75" thickBot="1" x14ac:dyDescent="0.3">
      <c r="B32" s="95" t="s">
        <v>2</v>
      </c>
      <c r="C32" s="59" t="s">
        <v>3</v>
      </c>
      <c r="D32" s="249">
        <v>110000</v>
      </c>
      <c r="E32" s="222" t="s">
        <v>364</v>
      </c>
      <c r="F32" s="222" t="s">
        <v>355</v>
      </c>
      <c r="G32" s="222" t="s">
        <v>531</v>
      </c>
      <c r="H32" s="222"/>
      <c r="I32" s="224"/>
      <c r="J32" s="10">
        <f>J33+J34+J35</f>
        <v>233292.49999999997</v>
      </c>
      <c r="K32" s="10">
        <f t="shared" ref="K32" si="7">K33+K34+K35</f>
        <v>233292.49999999997</v>
      </c>
      <c r="L32" s="253">
        <v>1</v>
      </c>
      <c r="M32" s="267">
        <f>M33+M34+M35</f>
        <v>167549.39000000001</v>
      </c>
    </row>
    <row r="33" spans="2:13" ht="78.75" customHeight="1" x14ac:dyDescent="0.25">
      <c r="B33" s="60" t="s">
        <v>2</v>
      </c>
      <c r="C33" s="79" t="s">
        <v>3</v>
      </c>
      <c r="D33" s="37" t="s">
        <v>27</v>
      </c>
      <c r="E33" s="23" t="s">
        <v>364</v>
      </c>
      <c r="F33" s="23" t="s">
        <v>355</v>
      </c>
      <c r="G33" s="79" t="s">
        <v>28</v>
      </c>
      <c r="H33" s="23" t="s">
        <v>571</v>
      </c>
      <c r="I33" s="16"/>
      <c r="J33" s="333">
        <v>137926.35999999999</v>
      </c>
      <c r="K33" s="334">
        <v>137926.35999999999</v>
      </c>
      <c r="L33" s="335">
        <v>1</v>
      </c>
      <c r="M33" s="274">
        <v>146843.69</v>
      </c>
    </row>
    <row r="34" spans="2:13" ht="36" x14ac:dyDescent="0.25">
      <c r="B34" s="55" t="s">
        <v>2</v>
      </c>
      <c r="C34" s="41" t="s">
        <v>3</v>
      </c>
      <c r="D34" s="38" t="s">
        <v>29</v>
      </c>
      <c r="E34" s="24" t="s">
        <v>364</v>
      </c>
      <c r="F34" s="24" t="s">
        <v>355</v>
      </c>
      <c r="G34" s="41" t="s">
        <v>30</v>
      </c>
      <c r="H34" s="24" t="s">
        <v>571</v>
      </c>
      <c r="I34" s="17"/>
      <c r="J34" s="336">
        <v>76143.899999999994</v>
      </c>
      <c r="K34" s="337">
        <v>76143.899999999994</v>
      </c>
      <c r="L34" s="335">
        <v>1</v>
      </c>
      <c r="M34" s="110">
        <v>600</v>
      </c>
    </row>
    <row r="35" spans="2:13" ht="48" x14ac:dyDescent="0.25">
      <c r="B35" s="55" t="s">
        <v>2</v>
      </c>
      <c r="C35" s="41" t="s">
        <v>3</v>
      </c>
      <c r="D35" s="38" t="s">
        <v>31</v>
      </c>
      <c r="E35" s="24" t="s">
        <v>364</v>
      </c>
      <c r="F35" s="24" t="s">
        <v>355</v>
      </c>
      <c r="G35" s="41" t="s">
        <v>32</v>
      </c>
      <c r="H35" s="24" t="s">
        <v>571</v>
      </c>
      <c r="I35" s="17"/>
      <c r="J35" s="336">
        <v>19222.240000000002</v>
      </c>
      <c r="K35" s="337">
        <v>19222.240000000002</v>
      </c>
      <c r="L35" s="335">
        <v>1</v>
      </c>
      <c r="M35" s="269">
        <v>20105.7</v>
      </c>
    </row>
    <row r="36" spans="2:13" x14ac:dyDescent="0.25">
      <c r="B36" s="55" t="s">
        <v>2</v>
      </c>
      <c r="C36" s="41" t="s">
        <v>3</v>
      </c>
      <c r="D36" s="38" t="s">
        <v>33</v>
      </c>
      <c r="E36" s="24" t="s">
        <v>364</v>
      </c>
      <c r="F36" s="24" t="s">
        <v>355</v>
      </c>
      <c r="G36" s="41" t="s">
        <v>34</v>
      </c>
      <c r="H36" s="24"/>
      <c r="I36" s="17"/>
      <c r="J36" s="344">
        <v>0</v>
      </c>
      <c r="K36" s="337">
        <v>0</v>
      </c>
      <c r="L36" s="335">
        <v>0</v>
      </c>
      <c r="M36" s="275">
        <v>0</v>
      </c>
    </row>
    <row r="37" spans="2:13" ht="15.75" thickBot="1" x14ac:dyDescent="0.3">
      <c r="B37" s="61" t="s">
        <v>2</v>
      </c>
      <c r="C37" s="87" t="s">
        <v>3</v>
      </c>
      <c r="D37" s="39" t="s">
        <v>35</v>
      </c>
      <c r="E37" s="26" t="s">
        <v>364</v>
      </c>
      <c r="F37" s="26" t="s">
        <v>355</v>
      </c>
      <c r="G37" s="87" t="s">
        <v>36</v>
      </c>
      <c r="H37" s="24" t="s">
        <v>549</v>
      </c>
      <c r="I37" s="18"/>
      <c r="J37" s="338">
        <v>217.16</v>
      </c>
      <c r="K37" s="343">
        <v>221.64723000000001</v>
      </c>
      <c r="L37" s="329">
        <v>1.0206999999999999</v>
      </c>
      <c r="M37" s="270">
        <v>222</v>
      </c>
    </row>
    <row r="38" spans="2:13" ht="36.75" thickBot="1" x14ac:dyDescent="0.3">
      <c r="B38" s="95" t="s">
        <v>2</v>
      </c>
      <c r="C38" s="59" t="s">
        <v>3</v>
      </c>
      <c r="D38" s="249">
        <v>160000</v>
      </c>
      <c r="E38" s="30" t="s">
        <v>364</v>
      </c>
      <c r="F38" s="30" t="s">
        <v>355</v>
      </c>
      <c r="G38" s="222" t="s">
        <v>532</v>
      </c>
      <c r="H38" s="30"/>
      <c r="I38" s="31"/>
      <c r="J38" s="10">
        <f>J39+J42+J43</f>
        <v>29738.720000000001</v>
      </c>
      <c r="K38" s="10">
        <f t="shared" ref="K38" si="8">K39+K42+K43</f>
        <v>29271.852670000004</v>
      </c>
      <c r="L38" s="253">
        <v>0.98429999999999995</v>
      </c>
      <c r="M38" s="267">
        <f>M39+M42+M43</f>
        <v>36359</v>
      </c>
    </row>
    <row r="39" spans="2:13" ht="24" customHeight="1" x14ac:dyDescent="0.25">
      <c r="B39" s="60" t="s">
        <v>2</v>
      </c>
      <c r="C39" s="79" t="s">
        <v>3</v>
      </c>
      <c r="D39" s="103">
        <v>160200</v>
      </c>
      <c r="E39" s="23" t="s">
        <v>364</v>
      </c>
      <c r="F39" s="23" t="s">
        <v>355</v>
      </c>
      <c r="G39" s="137" t="s">
        <v>533</v>
      </c>
      <c r="H39" s="24" t="s">
        <v>549</v>
      </c>
      <c r="I39" s="16"/>
      <c r="J39" s="339">
        <f>J40+J41</f>
        <v>22065.72</v>
      </c>
      <c r="K39" s="339">
        <f t="shared" ref="K39" si="9">K40+K41</f>
        <v>22325.684000000001</v>
      </c>
      <c r="L39" s="335">
        <v>1.0118</v>
      </c>
      <c r="M39" s="271">
        <f>M40+M41</f>
        <v>25758</v>
      </c>
    </row>
    <row r="40" spans="2:13" ht="24" x14ac:dyDescent="0.25">
      <c r="B40" s="55" t="s">
        <v>2</v>
      </c>
      <c r="C40" s="41" t="s">
        <v>3</v>
      </c>
      <c r="D40" s="38" t="s">
        <v>37</v>
      </c>
      <c r="E40" s="24" t="s">
        <v>364</v>
      </c>
      <c r="F40" s="24" t="s">
        <v>355</v>
      </c>
      <c r="G40" s="41" t="s">
        <v>38</v>
      </c>
      <c r="H40" s="24" t="s">
        <v>549</v>
      </c>
      <c r="I40" s="17"/>
      <c r="J40" s="336">
        <v>14715.72</v>
      </c>
      <c r="K40" s="340">
        <v>15032.881450000001</v>
      </c>
      <c r="L40" s="335">
        <v>1.0216000000000001</v>
      </c>
      <c r="M40" s="269">
        <v>17331</v>
      </c>
    </row>
    <row r="41" spans="2:13" ht="24" x14ac:dyDescent="0.25">
      <c r="B41" s="55" t="s">
        <v>2</v>
      </c>
      <c r="C41" s="41" t="s">
        <v>3</v>
      </c>
      <c r="D41" s="38" t="s">
        <v>39</v>
      </c>
      <c r="E41" s="24" t="s">
        <v>364</v>
      </c>
      <c r="F41" s="24" t="s">
        <v>355</v>
      </c>
      <c r="G41" s="41" t="s">
        <v>40</v>
      </c>
      <c r="H41" s="24" t="s">
        <v>549</v>
      </c>
      <c r="I41" s="17"/>
      <c r="J41" s="336">
        <v>7350</v>
      </c>
      <c r="K41" s="340">
        <v>7292.8025500000003</v>
      </c>
      <c r="L41" s="335">
        <v>0.99219999999999997</v>
      </c>
      <c r="M41" s="269">
        <v>8427</v>
      </c>
    </row>
    <row r="42" spans="2:13" ht="24" x14ac:dyDescent="0.25">
      <c r="B42" s="55" t="s">
        <v>2</v>
      </c>
      <c r="C42" s="41" t="s">
        <v>3</v>
      </c>
      <c r="D42" s="82" t="s">
        <v>41</v>
      </c>
      <c r="E42" s="24" t="s">
        <v>364</v>
      </c>
      <c r="F42" s="24" t="s">
        <v>355</v>
      </c>
      <c r="G42" s="41" t="s">
        <v>42</v>
      </c>
      <c r="H42" s="24" t="s">
        <v>549</v>
      </c>
      <c r="I42" s="17"/>
      <c r="J42" s="344">
        <v>5354</v>
      </c>
      <c r="K42" s="337">
        <v>4643.2208600000004</v>
      </c>
      <c r="L42" s="335">
        <v>0.86719999999999997</v>
      </c>
      <c r="M42" s="275">
        <v>7938</v>
      </c>
    </row>
    <row r="43" spans="2:13" ht="36" x14ac:dyDescent="0.25">
      <c r="B43" s="55" t="s">
        <v>2</v>
      </c>
      <c r="C43" s="41" t="s">
        <v>3</v>
      </c>
      <c r="D43" s="82" t="s">
        <v>43</v>
      </c>
      <c r="E43" s="24" t="s">
        <v>364</v>
      </c>
      <c r="F43" s="24" t="s">
        <v>355</v>
      </c>
      <c r="G43" s="41" t="s">
        <v>44</v>
      </c>
      <c r="H43" s="24" t="s">
        <v>549</v>
      </c>
      <c r="I43" s="17"/>
      <c r="J43" s="344">
        <v>2319</v>
      </c>
      <c r="K43" s="337">
        <v>2302.9478100000001</v>
      </c>
      <c r="L43" s="335">
        <v>0.99309999999999998</v>
      </c>
      <c r="M43" s="275">
        <v>2663</v>
      </c>
    </row>
    <row r="44" spans="2:13" ht="15.75" thickBot="1" x14ac:dyDescent="0.3">
      <c r="B44" s="61" t="s">
        <v>2</v>
      </c>
      <c r="C44" s="87" t="s">
        <v>3</v>
      </c>
      <c r="D44" s="39" t="s">
        <v>45</v>
      </c>
      <c r="E44" s="26" t="s">
        <v>364</v>
      </c>
      <c r="F44" s="26" t="s">
        <v>355</v>
      </c>
      <c r="G44" s="87" t="s">
        <v>46</v>
      </c>
      <c r="H44" s="26"/>
      <c r="I44" s="18"/>
      <c r="J44" s="338">
        <v>0</v>
      </c>
      <c r="K44" s="343">
        <v>0</v>
      </c>
      <c r="L44" s="329">
        <v>0</v>
      </c>
      <c r="M44" s="270">
        <v>0</v>
      </c>
    </row>
    <row r="45" spans="2:13" ht="15.75" thickBot="1" x14ac:dyDescent="0.3">
      <c r="B45" s="95" t="s">
        <v>2</v>
      </c>
      <c r="C45" s="59" t="s">
        <v>3</v>
      </c>
      <c r="D45" s="249">
        <v>300000</v>
      </c>
      <c r="E45" s="30" t="s">
        <v>364</v>
      </c>
      <c r="F45" s="30" t="s">
        <v>355</v>
      </c>
      <c r="G45" s="222" t="s">
        <v>534</v>
      </c>
      <c r="H45" s="30" t="s">
        <v>511</v>
      </c>
      <c r="I45" s="31"/>
      <c r="J45" s="10">
        <f>J46+J47+J48</f>
        <v>14636.14</v>
      </c>
      <c r="K45" s="10">
        <f t="shared" ref="K45" si="10">K46+K47+K48</f>
        <v>10340.67007</v>
      </c>
      <c r="L45" s="253">
        <v>0.70650000000000002</v>
      </c>
      <c r="M45" s="267">
        <f>M46+M47+M48</f>
        <v>10700</v>
      </c>
    </row>
    <row r="46" spans="2:13" ht="24" x14ac:dyDescent="0.25">
      <c r="B46" s="60" t="s">
        <v>2</v>
      </c>
      <c r="C46" s="79" t="s">
        <v>3</v>
      </c>
      <c r="D46" s="37" t="s">
        <v>47</v>
      </c>
      <c r="E46" s="23" t="s">
        <v>364</v>
      </c>
      <c r="F46" s="23" t="s">
        <v>355</v>
      </c>
      <c r="G46" s="79" t="s">
        <v>48</v>
      </c>
      <c r="H46" s="23" t="s">
        <v>549</v>
      </c>
      <c r="I46" s="16"/>
      <c r="J46" s="339">
        <v>0</v>
      </c>
      <c r="K46" s="345">
        <v>0</v>
      </c>
      <c r="L46" s="335">
        <v>0</v>
      </c>
      <c r="M46" s="271"/>
    </row>
    <row r="47" spans="2:13" ht="24" x14ac:dyDescent="0.25">
      <c r="B47" s="55" t="s">
        <v>2</v>
      </c>
      <c r="C47" s="41" t="s">
        <v>3</v>
      </c>
      <c r="D47" s="38" t="s">
        <v>49</v>
      </c>
      <c r="E47" s="24" t="s">
        <v>364</v>
      </c>
      <c r="F47" s="24" t="s">
        <v>355</v>
      </c>
      <c r="G47" s="41" t="s">
        <v>50</v>
      </c>
      <c r="H47" s="24" t="s">
        <v>572</v>
      </c>
      <c r="I47" s="17"/>
      <c r="J47" s="344">
        <v>13496</v>
      </c>
      <c r="K47" s="340">
        <v>9200.1575699999994</v>
      </c>
      <c r="L47" s="335">
        <v>0.68169999999999997</v>
      </c>
      <c r="M47" s="112">
        <v>10700</v>
      </c>
    </row>
    <row r="48" spans="2:13" ht="30" customHeight="1" x14ac:dyDescent="0.25">
      <c r="B48" s="55" t="s">
        <v>2</v>
      </c>
      <c r="C48" s="41" t="s">
        <v>3</v>
      </c>
      <c r="D48" s="38">
        <v>300802</v>
      </c>
      <c r="E48" s="24" t="s">
        <v>364</v>
      </c>
      <c r="F48" s="24" t="s">
        <v>355</v>
      </c>
      <c r="G48" s="41" t="s">
        <v>51</v>
      </c>
      <c r="H48" s="24" t="s">
        <v>549</v>
      </c>
      <c r="I48" s="17"/>
      <c r="J48" s="344">
        <v>1140.1400000000001</v>
      </c>
      <c r="K48" s="340">
        <v>1140.5125</v>
      </c>
      <c r="L48" s="335">
        <v>1.0003</v>
      </c>
      <c r="M48" s="275"/>
    </row>
    <row r="49" spans="2:13" ht="15.75" thickBot="1" x14ac:dyDescent="0.3">
      <c r="B49" s="61" t="s">
        <v>2</v>
      </c>
      <c r="C49" s="87" t="s">
        <v>3</v>
      </c>
      <c r="D49" s="39" t="s">
        <v>52</v>
      </c>
      <c r="E49" s="26" t="s">
        <v>364</v>
      </c>
      <c r="F49" s="26" t="s">
        <v>355</v>
      </c>
      <c r="G49" s="87" t="s">
        <v>53</v>
      </c>
      <c r="H49" s="26"/>
      <c r="I49" s="18"/>
      <c r="J49" s="338">
        <v>0</v>
      </c>
      <c r="K49" s="343">
        <v>0</v>
      </c>
      <c r="L49" s="329">
        <v>0</v>
      </c>
      <c r="M49" s="270"/>
    </row>
    <row r="50" spans="2:13" ht="15.75" thickBot="1" x14ac:dyDescent="0.3">
      <c r="B50" s="95" t="s">
        <v>2</v>
      </c>
      <c r="C50" s="59" t="s">
        <v>3</v>
      </c>
      <c r="D50" s="249">
        <v>330000</v>
      </c>
      <c r="E50" s="30" t="s">
        <v>364</v>
      </c>
      <c r="F50" s="30" t="s">
        <v>355</v>
      </c>
      <c r="G50" s="222" t="s">
        <v>535</v>
      </c>
      <c r="H50" s="30"/>
      <c r="I50" s="31"/>
      <c r="J50" s="10">
        <f>J51+J52+J53+J54+J55+J56+J57+J58</f>
        <v>9677.19</v>
      </c>
      <c r="K50" s="10">
        <f>K51+K52+K53+K54+K55+K56+K57+K58</f>
        <v>470.10687999999999</v>
      </c>
      <c r="L50" s="253">
        <v>4.8599999999999997E-2</v>
      </c>
      <c r="M50" s="267">
        <f>M51+M52+M53+M54+M55+M56+M57+M58</f>
        <v>2351</v>
      </c>
    </row>
    <row r="51" spans="2:13" x14ac:dyDescent="0.25">
      <c r="B51" s="60" t="s">
        <v>2</v>
      </c>
      <c r="C51" s="79" t="s">
        <v>3</v>
      </c>
      <c r="D51" s="37" t="s">
        <v>54</v>
      </c>
      <c r="E51" s="23" t="s">
        <v>364</v>
      </c>
      <c r="F51" s="23" t="s">
        <v>355</v>
      </c>
      <c r="G51" s="79" t="s">
        <v>55</v>
      </c>
      <c r="H51" s="24" t="s">
        <v>549</v>
      </c>
      <c r="I51" s="16"/>
      <c r="J51" s="339">
        <v>58</v>
      </c>
      <c r="K51" s="345">
        <v>42.66</v>
      </c>
      <c r="L51" s="335">
        <v>0.73550000000000004</v>
      </c>
      <c r="M51" s="271">
        <v>114</v>
      </c>
    </row>
    <row r="52" spans="2:13" ht="36" x14ac:dyDescent="0.25">
      <c r="B52" s="55" t="s">
        <v>2</v>
      </c>
      <c r="C52" s="41" t="s">
        <v>3</v>
      </c>
      <c r="D52" s="38" t="s">
        <v>56</v>
      </c>
      <c r="E52" s="24" t="s">
        <v>364</v>
      </c>
      <c r="F52" s="24" t="s">
        <v>355</v>
      </c>
      <c r="G52" s="41" t="s">
        <v>57</v>
      </c>
      <c r="H52" s="24"/>
      <c r="I52" s="17"/>
      <c r="J52" s="344">
        <v>0</v>
      </c>
      <c r="K52" s="340">
        <v>0</v>
      </c>
      <c r="L52" s="335">
        <v>0</v>
      </c>
      <c r="M52" s="275"/>
    </row>
    <row r="53" spans="2:13" ht="24" x14ac:dyDescent="0.25">
      <c r="B53" s="55" t="s">
        <v>2</v>
      </c>
      <c r="C53" s="41" t="s">
        <v>3</v>
      </c>
      <c r="D53" s="38" t="s">
        <v>58</v>
      </c>
      <c r="E53" s="24" t="s">
        <v>364</v>
      </c>
      <c r="F53" s="24" t="s">
        <v>355</v>
      </c>
      <c r="G53" s="41" t="s">
        <v>59</v>
      </c>
      <c r="H53" s="24" t="s">
        <v>549</v>
      </c>
      <c r="I53" s="17"/>
      <c r="J53" s="344">
        <v>23</v>
      </c>
      <c r="K53" s="340">
        <v>22.361999999999998</v>
      </c>
      <c r="L53" s="335">
        <v>0.97230000000000005</v>
      </c>
      <c r="M53" s="275">
        <v>25</v>
      </c>
    </row>
    <row r="54" spans="2:13" ht="24" x14ac:dyDescent="0.25">
      <c r="B54" s="55" t="s">
        <v>2</v>
      </c>
      <c r="C54" s="41" t="s">
        <v>3</v>
      </c>
      <c r="D54" s="38" t="s">
        <v>60</v>
      </c>
      <c r="E54" s="24" t="s">
        <v>364</v>
      </c>
      <c r="F54" s="24" t="s">
        <v>355</v>
      </c>
      <c r="G54" s="41" t="s">
        <v>61</v>
      </c>
      <c r="H54" s="24"/>
      <c r="I54" s="17"/>
      <c r="J54" s="344">
        <v>0</v>
      </c>
      <c r="K54" s="340">
        <v>0</v>
      </c>
      <c r="L54" s="335">
        <v>0</v>
      </c>
      <c r="M54" s="275"/>
    </row>
    <row r="55" spans="2:13" x14ac:dyDescent="0.25">
      <c r="B55" s="55" t="s">
        <v>2</v>
      </c>
      <c r="C55" s="41" t="s">
        <v>3</v>
      </c>
      <c r="D55" s="38">
        <v>332400</v>
      </c>
      <c r="E55" s="24" t="s">
        <v>364</v>
      </c>
      <c r="F55" s="24" t="s">
        <v>355</v>
      </c>
      <c r="G55" s="41" t="s">
        <v>508</v>
      </c>
      <c r="H55" s="24" t="s">
        <v>511</v>
      </c>
      <c r="I55" s="17"/>
      <c r="J55" s="344">
        <v>7.74</v>
      </c>
      <c r="K55" s="340">
        <v>7.7487399999999997</v>
      </c>
      <c r="L55" s="335">
        <v>0</v>
      </c>
      <c r="M55" s="275"/>
    </row>
    <row r="56" spans="2:13" x14ac:dyDescent="0.25">
      <c r="B56" s="55" t="s">
        <v>2</v>
      </c>
      <c r="C56" s="41" t="s">
        <v>3</v>
      </c>
      <c r="D56" s="38">
        <v>332600</v>
      </c>
      <c r="E56" s="24" t="s">
        <v>364</v>
      </c>
      <c r="F56" s="24" t="s">
        <v>355</v>
      </c>
      <c r="G56" s="41" t="s">
        <v>505</v>
      </c>
      <c r="H56" s="24" t="s">
        <v>511</v>
      </c>
      <c r="I56" s="17"/>
      <c r="J56" s="344">
        <v>132.44999999999999</v>
      </c>
      <c r="K56" s="340">
        <v>132.45183</v>
      </c>
      <c r="L56" s="335">
        <v>1</v>
      </c>
      <c r="M56" s="275"/>
    </row>
    <row r="57" spans="2:13" ht="24" x14ac:dyDescent="0.25">
      <c r="B57" s="55" t="s">
        <v>2</v>
      </c>
      <c r="C57" s="41" t="s">
        <v>3</v>
      </c>
      <c r="D57" s="38">
        <v>332800</v>
      </c>
      <c r="E57" s="24" t="s">
        <v>364</v>
      </c>
      <c r="F57" s="24" t="s">
        <v>355</v>
      </c>
      <c r="G57" s="41" t="s">
        <v>62</v>
      </c>
      <c r="H57" s="24" t="s">
        <v>511</v>
      </c>
      <c r="I57" s="17"/>
      <c r="J57" s="344">
        <v>9176</v>
      </c>
      <c r="K57" s="340">
        <v>18.153310000000001</v>
      </c>
      <c r="L57" s="335">
        <v>2E-3</v>
      </c>
      <c r="M57" s="275">
        <v>2000</v>
      </c>
    </row>
    <row r="58" spans="2:13" ht="24" x14ac:dyDescent="0.25">
      <c r="B58" s="55" t="s">
        <v>2</v>
      </c>
      <c r="C58" s="41" t="s">
        <v>3</v>
      </c>
      <c r="D58" s="38">
        <v>335000</v>
      </c>
      <c r="E58" s="24" t="s">
        <v>364</v>
      </c>
      <c r="F58" s="24" t="s">
        <v>355</v>
      </c>
      <c r="G58" s="41" t="s">
        <v>63</v>
      </c>
      <c r="H58" s="24" t="s">
        <v>549</v>
      </c>
      <c r="I58" s="17"/>
      <c r="J58" s="344">
        <v>280</v>
      </c>
      <c r="K58" s="340">
        <v>246.73099999999999</v>
      </c>
      <c r="L58" s="335">
        <v>0.88119999999999998</v>
      </c>
      <c r="M58" s="275">
        <v>212</v>
      </c>
    </row>
    <row r="59" spans="2:13" ht="24.75" thickBot="1" x14ac:dyDescent="0.3">
      <c r="B59" s="61" t="s">
        <v>2</v>
      </c>
      <c r="C59" s="87" t="s">
        <v>3</v>
      </c>
      <c r="D59" s="39" t="s">
        <v>64</v>
      </c>
      <c r="E59" s="26" t="s">
        <v>364</v>
      </c>
      <c r="F59" s="26" t="s">
        <v>355</v>
      </c>
      <c r="G59" s="87" t="s">
        <v>65</v>
      </c>
      <c r="H59" s="26" t="s">
        <v>549</v>
      </c>
      <c r="I59" s="18"/>
      <c r="J59" s="338">
        <v>31.72</v>
      </c>
      <c r="K59" s="343">
        <v>34.506279999999997</v>
      </c>
      <c r="L59" s="346">
        <v>1.0878000000000001</v>
      </c>
      <c r="M59" s="270">
        <v>35</v>
      </c>
    </row>
    <row r="60" spans="2:13" ht="15.75" thickBot="1" x14ac:dyDescent="0.3">
      <c r="B60" s="95" t="s">
        <v>2</v>
      </c>
      <c r="C60" s="59" t="s">
        <v>3</v>
      </c>
      <c r="D60" s="249">
        <v>350000</v>
      </c>
      <c r="E60" s="30" t="s">
        <v>364</v>
      </c>
      <c r="F60" s="30"/>
      <c r="G60" s="222" t="s">
        <v>536</v>
      </c>
      <c r="H60" s="30"/>
      <c r="I60" s="31"/>
      <c r="J60" s="10">
        <f>J61+J62</f>
        <v>10763.1</v>
      </c>
      <c r="K60" s="10">
        <f t="shared" ref="K60" si="11">K61+K62</f>
        <v>11169.33181</v>
      </c>
      <c r="L60" s="253">
        <v>1.0377000000000001</v>
      </c>
      <c r="M60" s="267">
        <f>M61+M62</f>
        <v>12000</v>
      </c>
    </row>
    <row r="61" spans="2:13" ht="36" x14ac:dyDescent="0.25">
      <c r="B61" s="60" t="s">
        <v>2</v>
      </c>
      <c r="C61" s="79" t="s">
        <v>3</v>
      </c>
      <c r="D61" s="37" t="s">
        <v>66</v>
      </c>
      <c r="E61" s="23" t="s">
        <v>364</v>
      </c>
      <c r="F61" s="23" t="s">
        <v>355</v>
      </c>
      <c r="G61" s="79" t="s">
        <v>67</v>
      </c>
      <c r="H61" s="24" t="s">
        <v>549</v>
      </c>
      <c r="I61" s="16"/>
      <c r="J61" s="339">
        <v>10651.36</v>
      </c>
      <c r="K61" s="334">
        <v>11057.59439</v>
      </c>
      <c r="L61" s="347">
        <v>1.0381</v>
      </c>
      <c r="M61" s="271">
        <v>12000</v>
      </c>
    </row>
    <row r="62" spans="2:13" ht="15.75" thickBot="1" x14ac:dyDescent="0.3">
      <c r="B62" s="61" t="s">
        <v>2</v>
      </c>
      <c r="C62" s="87" t="s">
        <v>3</v>
      </c>
      <c r="D62" s="39">
        <v>355000</v>
      </c>
      <c r="E62" s="26" t="s">
        <v>364</v>
      </c>
      <c r="F62" s="26" t="s">
        <v>355</v>
      </c>
      <c r="G62" s="300" t="s">
        <v>129</v>
      </c>
      <c r="H62" s="26" t="s">
        <v>511</v>
      </c>
      <c r="I62" s="18"/>
      <c r="J62" s="338">
        <v>111.74</v>
      </c>
      <c r="K62" s="343">
        <v>111.73742</v>
      </c>
      <c r="L62" s="329">
        <v>1</v>
      </c>
      <c r="M62" s="270"/>
    </row>
    <row r="63" spans="2:13" ht="15.75" thickBot="1" x14ac:dyDescent="0.3">
      <c r="B63" s="95" t="s">
        <v>2</v>
      </c>
      <c r="C63" s="59"/>
      <c r="D63" s="249">
        <v>360000</v>
      </c>
      <c r="E63" s="30"/>
      <c r="F63" s="30"/>
      <c r="G63" s="221" t="s">
        <v>71</v>
      </c>
      <c r="H63" s="30"/>
      <c r="I63" s="31"/>
      <c r="J63" s="10">
        <f>J64+J65+J66+J67+J68+J69+J70+J71</f>
        <v>1410.36</v>
      </c>
      <c r="K63" s="10">
        <f t="shared" ref="K63" si="12">K64+K65+K66+K67+K68+K69+K70+K71</f>
        <v>1435.3275799999999</v>
      </c>
      <c r="L63" s="253">
        <f>K63/J63</f>
        <v>1.0177029836353839</v>
      </c>
      <c r="M63" s="267">
        <f>M64+M65+M66+M67+M68+M69+M70+M71</f>
        <v>27003.95</v>
      </c>
    </row>
    <row r="64" spans="2:13" ht="24" x14ac:dyDescent="0.25">
      <c r="B64" s="40" t="s">
        <v>2</v>
      </c>
      <c r="C64" s="40" t="s">
        <v>3</v>
      </c>
      <c r="D64" s="57" t="s">
        <v>68</v>
      </c>
      <c r="E64" s="34" t="s">
        <v>364</v>
      </c>
      <c r="F64" s="34" t="s">
        <v>355</v>
      </c>
      <c r="G64" s="40" t="s">
        <v>69</v>
      </c>
      <c r="H64" s="34"/>
      <c r="I64" s="35"/>
      <c r="J64" s="348">
        <v>0</v>
      </c>
      <c r="K64" s="349">
        <v>6.0614400000000002</v>
      </c>
      <c r="L64" s="347">
        <v>0</v>
      </c>
      <c r="M64" s="276"/>
    </row>
    <row r="65" spans="2:13" x14ac:dyDescent="0.25">
      <c r="B65" s="41" t="s">
        <v>2</v>
      </c>
      <c r="C65" s="41" t="s">
        <v>3</v>
      </c>
      <c r="D65" s="38" t="s">
        <v>70</v>
      </c>
      <c r="E65" s="24" t="s">
        <v>364</v>
      </c>
      <c r="F65" s="24" t="s">
        <v>355</v>
      </c>
      <c r="G65" s="41" t="s">
        <v>71</v>
      </c>
      <c r="H65" s="24" t="s">
        <v>549</v>
      </c>
      <c r="I65" s="17"/>
      <c r="J65" s="344">
        <v>1312</v>
      </c>
      <c r="K65" s="340">
        <v>1332.8829900000001</v>
      </c>
      <c r="L65" s="335">
        <v>1.0159</v>
      </c>
      <c r="M65" s="275">
        <v>1358</v>
      </c>
    </row>
    <row r="66" spans="2:13" x14ac:dyDescent="0.25">
      <c r="B66" s="41" t="s">
        <v>2</v>
      </c>
      <c r="C66" s="41" t="s">
        <v>3</v>
      </c>
      <c r="D66" s="38">
        <v>361100</v>
      </c>
      <c r="E66" s="24" t="s">
        <v>364</v>
      </c>
      <c r="F66" s="24" t="s">
        <v>355</v>
      </c>
      <c r="G66" s="141" t="s">
        <v>387</v>
      </c>
      <c r="H66" s="24" t="s">
        <v>549</v>
      </c>
      <c r="I66" s="17"/>
      <c r="J66" s="344">
        <v>26.82</v>
      </c>
      <c r="K66" s="340">
        <v>29.641870000000001</v>
      </c>
      <c r="L66" s="335">
        <v>1.1052</v>
      </c>
      <c r="M66" s="275"/>
    </row>
    <row r="67" spans="2:13" ht="36" x14ac:dyDescent="0.25">
      <c r="B67" s="41" t="s">
        <v>2</v>
      </c>
      <c r="C67" s="41" t="s">
        <v>3</v>
      </c>
      <c r="D67" s="38" t="s">
        <v>72</v>
      </c>
      <c r="E67" s="24" t="s">
        <v>364</v>
      </c>
      <c r="F67" s="24" t="s">
        <v>355</v>
      </c>
      <c r="G67" s="41" t="s">
        <v>73</v>
      </c>
      <c r="H67" s="24" t="s">
        <v>511</v>
      </c>
      <c r="I67" s="17"/>
      <c r="J67" s="344">
        <v>0</v>
      </c>
      <c r="K67" s="340">
        <v>0</v>
      </c>
      <c r="L67" s="335">
        <v>0</v>
      </c>
      <c r="M67" s="275"/>
    </row>
    <row r="68" spans="2:13" ht="24" x14ac:dyDescent="0.25">
      <c r="B68" s="41" t="s">
        <v>2</v>
      </c>
      <c r="C68" s="41" t="s">
        <v>3</v>
      </c>
      <c r="D68" s="38">
        <v>362200</v>
      </c>
      <c r="E68" s="85" t="s">
        <v>362</v>
      </c>
      <c r="F68" s="24" t="s">
        <v>355</v>
      </c>
      <c r="G68" s="252" t="s">
        <v>382</v>
      </c>
      <c r="H68" s="24"/>
      <c r="I68" s="17"/>
      <c r="J68" s="344">
        <v>65.540000000000006</v>
      </c>
      <c r="K68" s="340">
        <v>66.036280000000005</v>
      </c>
      <c r="L68" s="335">
        <v>1.0076000000000001</v>
      </c>
      <c r="M68" s="275"/>
    </row>
    <row r="69" spans="2:13" x14ac:dyDescent="0.25">
      <c r="B69" s="41" t="s">
        <v>2</v>
      </c>
      <c r="C69" s="41" t="s">
        <v>3</v>
      </c>
      <c r="D69" s="38" t="s">
        <v>74</v>
      </c>
      <c r="E69" s="85" t="s">
        <v>362</v>
      </c>
      <c r="F69" s="24" t="s">
        <v>355</v>
      </c>
      <c r="G69" s="41" t="s">
        <v>75</v>
      </c>
      <c r="H69" s="24" t="s">
        <v>549</v>
      </c>
      <c r="I69" s="17"/>
      <c r="J69" s="344">
        <v>6</v>
      </c>
      <c r="K69" s="340">
        <v>0.376</v>
      </c>
      <c r="L69" s="335">
        <v>6.2700000000000006E-2</v>
      </c>
      <c r="M69" s="275">
        <v>6</v>
      </c>
    </row>
    <row r="70" spans="2:13" ht="24" x14ac:dyDescent="0.25">
      <c r="B70" s="41" t="s">
        <v>2</v>
      </c>
      <c r="C70" s="41" t="s">
        <v>3</v>
      </c>
      <c r="D70" s="38" t="s">
        <v>76</v>
      </c>
      <c r="E70" s="85" t="s">
        <v>362</v>
      </c>
      <c r="F70" s="24" t="s">
        <v>355</v>
      </c>
      <c r="G70" s="41" t="s">
        <v>77</v>
      </c>
      <c r="H70" s="24"/>
      <c r="I70" s="17"/>
      <c r="J70" s="344">
        <v>0</v>
      </c>
      <c r="K70" s="340">
        <v>0.24</v>
      </c>
      <c r="L70" s="335">
        <v>0</v>
      </c>
      <c r="M70" s="275"/>
    </row>
    <row r="71" spans="2:13" ht="15.75" thickBot="1" x14ac:dyDescent="0.3">
      <c r="B71" s="42" t="s">
        <v>2</v>
      </c>
      <c r="C71" s="42" t="s">
        <v>3</v>
      </c>
      <c r="D71" s="69" t="s">
        <v>78</v>
      </c>
      <c r="E71" s="113" t="s">
        <v>364</v>
      </c>
      <c r="F71" s="25" t="s">
        <v>355</v>
      </c>
      <c r="G71" s="42" t="s">
        <v>79</v>
      </c>
      <c r="H71" s="25"/>
      <c r="I71" s="36"/>
      <c r="J71" s="350">
        <v>0</v>
      </c>
      <c r="K71" s="351">
        <f>89/1000</f>
        <v>8.8999999999999996E-2</v>
      </c>
      <c r="L71" s="352">
        <v>0</v>
      </c>
      <c r="M71" s="277">
        <v>25639.95</v>
      </c>
    </row>
    <row r="72" spans="2:13" x14ac:dyDescent="0.25">
      <c r="B72" s="60" t="s">
        <v>2</v>
      </c>
      <c r="C72" s="79" t="s">
        <v>3</v>
      </c>
      <c r="D72" s="37" t="s">
        <v>80</v>
      </c>
      <c r="E72" s="23" t="s">
        <v>364</v>
      </c>
      <c r="F72" s="23" t="s">
        <v>355</v>
      </c>
      <c r="G72" s="79" t="s">
        <v>81</v>
      </c>
      <c r="H72" s="23" t="s">
        <v>511</v>
      </c>
      <c r="I72" s="16"/>
      <c r="J72" s="339">
        <v>0</v>
      </c>
      <c r="K72" s="334">
        <v>0</v>
      </c>
      <c r="L72" s="335">
        <v>0</v>
      </c>
      <c r="M72" s="271"/>
    </row>
    <row r="73" spans="2:13" ht="36" x14ac:dyDescent="0.25">
      <c r="B73" s="55" t="s">
        <v>2</v>
      </c>
      <c r="C73" s="41" t="s">
        <v>3</v>
      </c>
      <c r="D73" s="38" t="s">
        <v>82</v>
      </c>
      <c r="E73" s="24" t="s">
        <v>364</v>
      </c>
      <c r="F73" s="24" t="s">
        <v>355</v>
      </c>
      <c r="G73" s="41" t="s">
        <v>487</v>
      </c>
      <c r="H73" s="24" t="s">
        <v>511</v>
      </c>
      <c r="I73" s="17"/>
      <c r="J73" s="344">
        <v>-0.77</v>
      </c>
      <c r="K73" s="337">
        <v>0</v>
      </c>
      <c r="L73" s="335">
        <v>0</v>
      </c>
      <c r="M73" s="275">
        <f>-54593.72+38.949</f>
        <v>-54554.771000000001</v>
      </c>
    </row>
    <row r="74" spans="2:13" ht="27.75" customHeight="1" x14ac:dyDescent="0.25">
      <c r="B74" s="55" t="s">
        <v>2</v>
      </c>
      <c r="C74" s="41" t="s">
        <v>3</v>
      </c>
      <c r="D74" s="38" t="s">
        <v>83</v>
      </c>
      <c r="E74" s="85" t="s">
        <v>362</v>
      </c>
      <c r="F74" s="24" t="s">
        <v>355</v>
      </c>
      <c r="G74" s="41" t="s">
        <v>84</v>
      </c>
      <c r="H74" s="24"/>
      <c r="I74" s="17"/>
      <c r="J74" s="344">
        <v>0.77</v>
      </c>
      <c r="K74" s="337">
        <v>0</v>
      </c>
      <c r="L74" s="335">
        <v>0</v>
      </c>
      <c r="M74" s="275">
        <f>54593.72-38.949</f>
        <v>54554.771000000001</v>
      </c>
    </row>
    <row r="75" spans="2:13" ht="24" x14ac:dyDescent="0.25">
      <c r="B75" s="55" t="s">
        <v>2</v>
      </c>
      <c r="C75" s="41" t="s">
        <v>3</v>
      </c>
      <c r="D75" s="38" t="s">
        <v>85</v>
      </c>
      <c r="E75" s="85" t="s">
        <v>362</v>
      </c>
      <c r="F75" s="24" t="s">
        <v>355</v>
      </c>
      <c r="G75" s="41" t="s">
        <v>86</v>
      </c>
      <c r="H75" s="24"/>
      <c r="I75" s="17"/>
      <c r="J75" s="344">
        <v>0</v>
      </c>
      <c r="K75" s="337">
        <v>0</v>
      </c>
      <c r="L75" s="335">
        <v>0</v>
      </c>
      <c r="M75" s="275"/>
    </row>
    <row r="76" spans="2:13" ht="24" x14ac:dyDescent="0.25">
      <c r="B76" s="55" t="s">
        <v>2</v>
      </c>
      <c r="C76" s="41" t="s">
        <v>3</v>
      </c>
      <c r="D76" s="38" t="s">
        <v>87</v>
      </c>
      <c r="E76" s="85" t="s">
        <v>362</v>
      </c>
      <c r="F76" s="24" t="s">
        <v>355</v>
      </c>
      <c r="G76" s="41" t="s">
        <v>88</v>
      </c>
      <c r="H76" s="24" t="s">
        <v>549</v>
      </c>
      <c r="I76" s="17"/>
      <c r="J76" s="344">
        <v>2690.97</v>
      </c>
      <c r="K76" s="337">
        <v>2763.15245</v>
      </c>
      <c r="L76" s="335">
        <v>1.0267999999999999</v>
      </c>
      <c r="M76" s="275"/>
    </row>
    <row r="77" spans="2:13" ht="38.25" customHeight="1" x14ac:dyDescent="0.25">
      <c r="B77" s="55" t="s">
        <v>2</v>
      </c>
      <c r="C77" s="41" t="s">
        <v>3</v>
      </c>
      <c r="D77" s="38" t="s">
        <v>89</v>
      </c>
      <c r="E77" s="85" t="s">
        <v>362</v>
      </c>
      <c r="F77" s="24" t="s">
        <v>355</v>
      </c>
      <c r="G77" s="41" t="s">
        <v>90</v>
      </c>
      <c r="H77" s="24" t="s">
        <v>549</v>
      </c>
      <c r="I77" s="17"/>
      <c r="J77" s="344">
        <v>635.26</v>
      </c>
      <c r="K77" s="337">
        <v>660.75900000000001</v>
      </c>
      <c r="L77" s="335">
        <v>1.0401</v>
      </c>
      <c r="M77" s="275"/>
    </row>
    <row r="78" spans="2:13" ht="57.75" customHeight="1" x14ac:dyDescent="0.25">
      <c r="B78" s="55" t="s">
        <v>2</v>
      </c>
      <c r="C78" s="41" t="s">
        <v>3</v>
      </c>
      <c r="D78" s="38" t="s">
        <v>91</v>
      </c>
      <c r="E78" s="85" t="s">
        <v>362</v>
      </c>
      <c r="F78" s="24" t="s">
        <v>355</v>
      </c>
      <c r="G78" s="72" t="s">
        <v>92</v>
      </c>
      <c r="H78" s="24"/>
      <c r="I78" s="17"/>
      <c r="J78" s="344">
        <v>211.6</v>
      </c>
      <c r="K78" s="337">
        <v>211.6</v>
      </c>
      <c r="L78" s="335">
        <v>0</v>
      </c>
      <c r="M78" s="275"/>
    </row>
    <row r="79" spans="2:13" ht="36.75" x14ac:dyDescent="0.25">
      <c r="B79" s="55" t="s">
        <v>2</v>
      </c>
      <c r="C79" s="41" t="s">
        <v>3</v>
      </c>
      <c r="D79" s="38">
        <v>401400</v>
      </c>
      <c r="E79" s="85" t="s">
        <v>362</v>
      </c>
      <c r="F79" s="24" t="s">
        <v>355</v>
      </c>
      <c r="G79" s="114" t="s">
        <v>383</v>
      </c>
      <c r="H79" s="24"/>
      <c r="I79" s="17"/>
      <c r="J79" s="344">
        <v>0</v>
      </c>
      <c r="K79" s="337"/>
      <c r="L79" s="335">
        <v>0</v>
      </c>
      <c r="M79" s="275"/>
    </row>
    <row r="80" spans="2:13" ht="24" x14ac:dyDescent="0.25">
      <c r="B80" s="55" t="s">
        <v>2</v>
      </c>
      <c r="C80" s="41" t="s">
        <v>3</v>
      </c>
      <c r="D80" s="38">
        <v>401600</v>
      </c>
      <c r="E80" s="85" t="s">
        <v>362</v>
      </c>
      <c r="F80" s="24" t="s">
        <v>355</v>
      </c>
      <c r="G80" s="301" t="s">
        <v>384</v>
      </c>
      <c r="H80" s="24"/>
      <c r="I80" s="17"/>
      <c r="J80" s="344">
        <v>0</v>
      </c>
      <c r="K80" s="337">
        <v>0</v>
      </c>
      <c r="L80" s="335">
        <v>0</v>
      </c>
      <c r="M80" s="275"/>
    </row>
    <row r="81" spans="2:13" ht="36.75" x14ac:dyDescent="0.25">
      <c r="B81" s="317" t="s">
        <v>2</v>
      </c>
      <c r="C81" s="72" t="s">
        <v>3</v>
      </c>
      <c r="D81" s="507">
        <v>401800</v>
      </c>
      <c r="E81" s="226" t="s">
        <v>364</v>
      </c>
      <c r="F81" s="201" t="s">
        <v>355</v>
      </c>
      <c r="G81" s="114" t="s">
        <v>576</v>
      </c>
      <c r="H81" s="201"/>
      <c r="I81" s="318"/>
      <c r="J81" s="337"/>
      <c r="K81" s="337"/>
      <c r="L81" s="335"/>
      <c r="M81" s="112"/>
    </row>
    <row r="82" spans="2:13" ht="24" x14ac:dyDescent="0.25">
      <c r="B82" s="55" t="s">
        <v>2</v>
      </c>
      <c r="C82" s="41" t="s">
        <v>3</v>
      </c>
      <c r="D82" s="38">
        <v>405000</v>
      </c>
      <c r="E82" s="24" t="s">
        <v>364</v>
      </c>
      <c r="F82" s="24" t="s">
        <v>355</v>
      </c>
      <c r="G82" s="72" t="s">
        <v>93</v>
      </c>
      <c r="H82" s="24" t="s">
        <v>511</v>
      </c>
      <c r="I82" s="17"/>
      <c r="J82" s="344">
        <v>22097.96</v>
      </c>
      <c r="K82" s="337">
        <v>0</v>
      </c>
      <c r="L82" s="353">
        <v>0</v>
      </c>
      <c r="M82" s="275">
        <v>25350.17</v>
      </c>
    </row>
    <row r="83" spans="2:13" ht="15.75" thickBot="1" x14ac:dyDescent="0.3">
      <c r="B83" s="186" t="s">
        <v>2</v>
      </c>
      <c r="C83" s="80" t="s">
        <v>3</v>
      </c>
      <c r="D83" s="191">
        <v>420000</v>
      </c>
      <c r="E83" s="99"/>
      <c r="F83" s="99" t="s">
        <v>355</v>
      </c>
      <c r="G83" s="294" t="s">
        <v>537</v>
      </c>
      <c r="H83" s="99"/>
      <c r="I83" s="299"/>
      <c r="J83" s="97">
        <f>J84+J86+J87+J88+J89+J90+J91+J95+J99</f>
        <v>81304.070000000007</v>
      </c>
      <c r="K83" s="97">
        <f t="shared" ref="K83" si="13">K84+K86+K87+K88+K89+K90+K91+K95+K99</f>
        <v>54665.866999999991</v>
      </c>
      <c r="L83" s="352">
        <v>0.6724</v>
      </c>
      <c r="M83" s="286">
        <f>M84+M86+M87+M88+M89+M90+M91+M95+M99</f>
        <v>148693.16</v>
      </c>
    </row>
    <row r="84" spans="2:13" ht="60" x14ac:dyDescent="0.25">
      <c r="B84" s="60" t="s">
        <v>2</v>
      </c>
      <c r="C84" s="79" t="s">
        <v>3</v>
      </c>
      <c r="D84" s="37" t="s">
        <v>94</v>
      </c>
      <c r="E84" s="23" t="s">
        <v>364</v>
      </c>
      <c r="F84" s="23" t="s">
        <v>355</v>
      </c>
      <c r="G84" s="255" t="s">
        <v>95</v>
      </c>
      <c r="H84" s="23" t="s">
        <v>511</v>
      </c>
      <c r="I84" s="16"/>
      <c r="J84" s="339">
        <v>220</v>
      </c>
      <c r="K84" s="334">
        <v>205.54400000000001</v>
      </c>
      <c r="L84" s="335">
        <v>0.93430000000000002</v>
      </c>
      <c r="M84" s="287">
        <v>210</v>
      </c>
    </row>
    <row r="85" spans="2:13" ht="36.75" customHeight="1" x14ac:dyDescent="0.25">
      <c r="B85" s="55" t="s">
        <v>2</v>
      </c>
      <c r="C85" s="41" t="s">
        <v>3</v>
      </c>
      <c r="D85" s="38" t="s">
        <v>96</v>
      </c>
      <c r="E85" s="24" t="s">
        <v>364</v>
      </c>
      <c r="F85" s="24" t="s">
        <v>355</v>
      </c>
      <c r="G85" s="41" t="s">
        <v>97</v>
      </c>
      <c r="H85" s="24"/>
      <c r="I85" s="17"/>
      <c r="J85" s="344">
        <v>0</v>
      </c>
      <c r="K85" s="337">
        <v>0</v>
      </c>
      <c r="L85" s="335">
        <v>0</v>
      </c>
      <c r="M85" s="112"/>
    </row>
    <row r="86" spans="2:13" ht="36" x14ac:dyDescent="0.25">
      <c r="B86" s="55" t="s">
        <v>2</v>
      </c>
      <c r="C86" s="41" t="s">
        <v>3</v>
      </c>
      <c r="D86" s="38" t="s">
        <v>98</v>
      </c>
      <c r="E86" s="24" t="s">
        <v>364</v>
      </c>
      <c r="F86" s="24" t="s">
        <v>355</v>
      </c>
      <c r="G86" s="41" t="s">
        <v>575</v>
      </c>
      <c r="H86" s="24" t="s">
        <v>571</v>
      </c>
      <c r="I86" s="17"/>
      <c r="J86" s="344">
        <v>356.66</v>
      </c>
      <c r="K86" s="337">
        <v>356.733</v>
      </c>
      <c r="L86" s="335">
        <v>1.0002</v>
      </c>
      <c r="M86" s="112">
        <v>379</v>
      </c>
    </row>
    <row r="87" spans="2:13" ht="48.75" customHeight="1" x14ac:dyDescent="0.25">
      <c r="B87" s="55" t="s">
        <v>2</v>
      </c>
      <c r="C87" s="41" t="s">
        <v>3</v>
      </c>
      <c r="D87" s="38" t="s">
        <v>99</v>
      </c>
      <c r="E87" s="24" t="s">
        <v>364</v>
      </c>
      <c r="F87" s="24" t="s">
        <v>355</v>
      </c>
      <c r="G87" s="41" t="s">
        <v>573</v>
      </c>
      <c r="H87" s="24" t="s">
        <v>571</v>
      </c>
      <c r="I87" s="17"/>
      <c r="J87" s="344">
        <v>14682</v>
      </c>
      <c r="K87" s="337">
        <v>14547.276</v>
      </c>
      <c r="L87" s="335">
        <v>0.99080000000000001</v>
      </c>
      <c r="M87" s="112">
        <v>17173</v>
      </c>
    </row>
    <row r="88" spans="2:13" ht="72" x14ac:dyDescent="0.25">
      <c r="B88" s="55" t="s">
        <v>2</v>
      </c>
      <c r="C88" s="41" t="s">
        <v>3</v>
      </c>
      <c r="D88" s="38" t="s">
        <v>100</v>
      </c>
      <c r="E88" s="85" t="s">
        <v>362</v>
      </c>
      <c r="F88" s="24" t="s">
        <v>355</v>
      </c>
      <c r="G88" s="41" t="s">
        <v>501</v>
      </c>
      <c r="H88" s="24"/>
      <c r="I88" s="17"/>
      <c r="J88" s="344">
        <v>400</v>
      </c>
      <c r="K88" s="337">
        <v>388.55977000000001</v>
      </c>
      <c r="L88" s="335">
        <v>0.97140000000000004</v>
      </c>
      <c r="M88" s="112">
        <v>10971</v>
      </c>
    </row>
    <row r="89" spans="2:13" ht="63" customHeight="1" x14ac:dyDescent="0.25">
      <c r="B89" s="55" t="s">
        <v>2</v>
      </c>
      <c r="C89" s="41" t="s">
        <v>3</v>
      </c>
      <c r="D89" s="38">
        <v>428600</v>
      </c>
      <c r="E89" s="85" t="s">
        <v>364</v>
      </c>
      <c r="F89" s="24" t="s">
        <v>355</v>
      </c>
      <c r="G89" s="41" t="s">
        <v>506</v>
      </c>
      <c r="H89" s="24" t="s">
        <v>511</v>
      </c>
      <c r="I89" s="17"/>
      <c r="J89" s="344">
        <v>31.41</v>
      </c>
      <c r="K89" s="337">
        <v>31.412690000000001</v>
      </c>
      <c r="L89" s="335">
        <v>1.0001</v>
      </c>
      <c r="M89" s="275"/>
    </row>
    <row r="90" spans="2:13" ht="42.75" customHeight="1" thickBot="1" x14ac:dyDescent="0.3">
      <c r="B90" s="61" t="s">
        <v>2</v>
      </c>
      <c r="C90" s="87" t="s">
        <v>3</v>
      </c>
      <c r="D90" s="39">
        <v>428700</v>
      </c>
      <c r="E90" s="250" t="s">
        <v>362</v>
      </c>
      <c r="F90" s="26" t="s">
        <v>355</v>
      </c>
      <c r="G90" s="87" t="s">
        <v>101</v>
      </c>
      <c r="H90" s="26"/>
      <c r="I90" s="18"/>
      <c r="J90" s="338">
        <v>14910</v>
      </c>
      <c r="K90" s="343">
        <v>14875.701279999999</v>
      </c>
      <c r="L90" s="329">
        <v>0.99770000000000003</v>
      </c>
      <c r="M90" s="270">
        <v>34.159999999999997</v>
      </c>
    </row>
    <row r="91" spans="2:13" ht="42.75" customHeight="1" thickBot="1" x14ac:dyDescent="0.3">
      <c r="B91" s="95" t="s">
        <v>2</v>
      </c>
      <c r="C91" s="59" t="s">
        <v>3</v>
      </c>
      <c r="D91" s="249">
        <v>428800</v>
      </c>
      <c r="E91" s="222" t="s">
        <v>362</v>
      </c>
      <c r="F91" s="30" t="s">
        <v>355</v>
      </c>
      <c r="G91" s="222" t="s">
        <v>538</v>
      </c>
      <c r="H91" s="30"/>
      <c r="I91" s="31"/>
      <c r="J91" s="10">
        <f>J92+J93+J94</f>
        <v>24000</v>
      </c>
      <c r="K91" s="10">
        <f t="shared" ref="K91" si="14">K92+K93+K94</f>
        <v>22352.405289999999</v>
      </c>
      <c r="L91" s="227">
        <v>0.93140000000000001</v>
      </c>
      <c r="M91" s="280">
        <f>M92+M93+M94</f>
        <v>75886</v>
      </c>
    </row>
    <row r="92" spans="2:13" x14ac:dyDescent="0.25">
      <c r="B92" s="60" t="s">
        <v>2</v>
      </c>
      <c r="C92" s="79" t="s">
        <v>3</v>
      </c>
      <c r="D92" s="37" t="s">
        <v>102</v>
      </c>
      <c r="E92" s="251" t="s">
        <v>362</v>
      </c>
      <c r="F92" s="23" t="s">
        <v>355</v>
      </c>
      <c r="G92" s="79" t="s">
        <v>103</v>
      </c>
      <c r="H92" s="23"/>
      <c r="I92" s="16"/>
      <c r="J92" s="333">
        <v>20000</v>
      </c>
      <c r="K92" s="345">
        <v>18791.207979999999</v>
      </c>
      <c r="L92" s="335">
        <v>0.93959999999999999</v>
      </c>
      <c r="M92" s="281">
        <v>64867</v>
      </c>
    </row>
    <row r="93" spans="2:13" x14ac:dyDescent="0.25">
      <c r="B93" s="55" t="s">
        <v>2</v>
      </c>
      <c r="C93" s="41" t="s">
        <v>3</v>
      </c>
      <c r="D93" s="38" t="s">
        <v>104</v>
      </c>
      <c r="E93" s="85" t="s">
        <v>362</v>
      </c>
      <c r="F93" s="24" t="s">
        <v>355</v>
      </c>
      <c r="G93" s="41" t="s">
        <v>105</v>
      </c>
      <c r="H93" s="24"/>
      <c r="I93" s="17"/>
      <c r="J93" s="336">
        <v>0</v>
      </c>
      <c r="K93" s="340">
        <v>0</v>
      </c>
      <c r="L93" s="335">
        <v>0</v>
      </c>
      <c r="M93" s="110">
        <v>0</v>
      </c>
    </row>
    <row r="94" spans="2:13" ht="15.75" thickBot="1" x14ac:dyDescent="0.3">
      <c r="B94" s="61" t="s">
        <v>2</v>
      </c>
      <c r="C94" s="87" t="s">
        <v>3</v>
      </c>
      <c r="D94" s="39" t="s">
        <v>106</v>
      </c>
      <c r="E94" s="250" t="s">
        <v>362</v>
      </c>
      <c r="F94" s="26" t="s">
        <v>355</v>
      </c>
      <c r="G94" s="87" t="s">
        <v>107</v>
      </c>
      <c r="H94" s="26"/>
      <c r="I94" s="18"/>
      <c r="J94" s="354">
        <v>4000</v>
      </c>
      <c r="K94" s="355">
        <v>3561.19731</v>
      </c>
      <c r="L94" s="329">
        <v>0.89029999999999998</v>
      </c>
      <c r="M94" s="282">
        <v>11019</v>
      </c>
    </row>
    <row r="95" spans="2:13" ht="46.5" customHeight="1" thickBot="1" x14ac:dyDescent="0.3">
      <c r="B95" s="95"/>
      <c r="C95" s="59"/>
      <c r="D95" s="249">
        <v>428900</v>
      </c>
      <c r="E95" s="222" t="s">
        <v>362</v>
      </c>
      <c r="F95" s="30" t="s">
        <v>355</v>
      </c>
      <c r="G95" s="222" t="s">
        <v>542</v>
      </c>
      <c r="H95" s="30"/>
      <c r="I95" s="31"/>
      <c r="J95" s="10">
        <f>J96+J97+J98</f>
        <v>26704</v>
      </c>
      <c r="K95" s="10">
        <f t="shared" ref="K95" si="15">K96+K97+K98</f>
        <v>1091.00244</v>
      </c>
      <c r="L95" s="253">
        <v>4.0899999999999999E-2</v>
      </c>
      <c r="M95" s="280">
        <f>M96+M97+M98</f>
        <v>44040</v>
      </c>
    </row>
    <row r="96" spans="2:13" x14ac:dyDescent="0.25">
      <c r="B96" s="60" t="s">
        <v>2</v>
      </c>
      <c r="C96" s="79" t="s">
        <v>3</v>
      </c>
      <c r="D96" s="37" t="s">
        <v>108</v>
      </c>
      <c r="E96" s="251" t="s">
        <v>362</v>
      </c>
      <c r="F96" s="23" t="s">
        <v>355</v>
      </c>
      <c r="G96" s="79" t="s">
        <v>109</v>
      </c>
      <c r="H96" s="23"/>
      <c r="I96" s="16"/>
      <c r="J96" s="333">
        <v>21989</v>
      </c>
      <c r="K96" s="334">
        <v>916.79651000000001</v>
      </c>
      <c r="L96" s="335">
        <v>4.1700000000000001E-2</v>
      </c>
      <c r="M96" s="274">
        <v>41335</v>
      </c>
    </row>
    <row r="97" spans="2:13" x14ac:dyDescent="0.25">
      <c r="B97" s="55" t="s">
        <v>2</v>
      </c>
      <c r="C97" s="41" t="s">
        <v>3</v>
      </c>
      <c r="D97" s="38" t="s">
        <v>110</v>
      </c>
      <c r="E97" s="85" t="s">
        <v>362</v>
      </c>
      <c r="F97" s="24" t="s">
        <v>355</v>
      </c>
      <c r="G97" s="41" t="s">
        <v>105</v>
      </c>
      <c r="H97" s="24"/>
      <c r="I97" s="17"/>
      <c r="J97" s="336">
        <v>121</v>
      </c>
      <c r="K97" s="337">
        <v>0</v>
      </c>
      <c r="L97" s="335">
        <v>0</v>
      </c>
      <c r="M97" s="269">
        <v>0</v>
      </c>
    </row>
    <row r="98" spans="2:13" ht="15.75" thickBot="1" x14ac:dyDescent="0.3">
      <c r="B98" s="61" t="s">
        <v>2</v>
      </c>
      <c r="C98" s="87" t="s">
        <v>3</v>
      </c>
      <c r="D98" s="39" t="s">
        <v>111</v>
      </c>
      <c r="E98" s="293" t="s">
        <v>362</v>
      </c>
      <c r="F98" s="26" t="s">
        <v>355</v>
      </c>
      <c r="G98" s="87" t="s">
        <v>107</v>
      </c>
      <c r="H98" s="26"/>
      <c r="I98" s="18"/>
      <c r="J98" s="354">
        <v>4594</v>
      </c>
      <c r="K98" s="343">
        <v>174.20593</v>
      </c>
      <c r="L98" s="329">
        <v>3.7900000000000003E-2</v>
      </c>
      <c r="M98" s="278">
        <v>2705</v>
      </c>
    </row>
    <row r="99" spans="2:13" ht="84.75" thickBot="1" x14ac:dyDescent="0.3">
      <c r="B99" s="95" t="s">
        <v>2</v>
      </c>
      <c r="C99" s="59" t="s">
        <v>3</v>
      </c>
      <c r="D99" s="249">
        <v>429300</v>
      </c>
      <c r="E99" s="222" t="s">
        <v>362</v>
      </c>
      <c r="F99" s="30" t="s">
        <v>355</v>
      </c>
      <c r="G99" s="121" t="s">
        <v>521</v>
      </c>
      <c r="H99" s="30"/>
      <c r="I99" s="31"/>
      <c r="J99" s="10">
        <f>J100+J101</f>
        <v>0</v>
      </c>
      <c r="K99" s="10">
        <f t="shared" ref="K99" si="16">K100+K101</f>
        <v>817.23253</v>
      </c>
      <c r="L99" s="253">
        <v>0</v>
      </c>
      <c r="M99" s="267">
        <f>M100+M101</f>
        <v>0</v>
      </c>
    </row>
    <row r="100" spans="2:13" ht="72" x14ac:dyDescent="0.25">
      <c r="B100" s="60" t="s">
        <v>2</v>
      </c>
      <c r="C100" s="79" t="s">
        <v>3</v>
      </c>
      <c r="D100" s="37">
        <v>429301</v>
      </c>
      <c r="E100" s="23" t="s">
        <v>362</v>
      </c>
      <c r="F100" s="23" t="s">
        <v>355</v>
      </c>
      <c r="G100" s="79" t="s">
        <v>519</v>
      </c>
      <c r="H100" s="23"/>
      <c r="I100" s="16"/>
      <c r="J100" s="333">
        <v>0</v>
      </c>
      <c r="K100" s="334">
        <v>0</v>
      </c>
      <c r="L100" s="335">
        <v>0</v>
      </c>
      <c r="M100" s="274"/>
    </row>
    <row r="101" spans="2:13" ht="60.75" thickBot="1" x14ac:dyDescent="0.3">
      <c r="B101" s="61" t="s">
        <v>2</v>
      </c>
      <c r="C101" s="87" t="s">
        <v>3</v>
      </c>
      <c r="D101" s="39">
        <v>429303</v>
      </c>
      <c r="E101" s="26" t="s">
        <v>362</v>
      </c>
      <c r="F101" s="26" t="s">
        <v>355</v>
      </c>
      <c r="G101" s="87" t="s">
        <v>520</v>
      </c>
      <c r="H101" s="26"/>
      <c r="I101" s="18"/>
      <c r="J101" s="354">
        <v>0</v>
      </c>
      <c r="K101" s="343">
        <v>817.23253</v>
      </c>
      <c r="L101" s="329">
        <v>0</v>
      </c>
      <c r="M101" s="278"/>
    </row>
    <row r="102" spans="2:13" ht="24.75" thickBot="1" x14ac:dyDescent="0.3">
      <c r="B102" s="95" t="s">
        <v>2</v>
      </c>
      <c r="C102" s="59" t="s">
        <v>3</v>
      </c>
      <c r="D102" s="249">
        <v>430000</v>
      </c>
      <c r="E102" s="30"/>
      <c r="F102" s="30"/>
      <c r="G102" s="222" t="s">
        <v>543</v>
      </c>
      <c r="H102" s="30"/>
      <c r="I102" s="31"/>
      <c r="J102" s="10">
        <f>J103+J104+J105+J106+J107</f>
        <v>3221.7799999999997</v>
      </c>
      <c r="K102" s="10">
        <f t="shared" ref="K102" si="17">K103+K104+K105+K106+K107</f>
        <v>443.49691000000001</v>
      </c>
      <c r="L102" s="253">
        <v>0.13769999999999999</v>
      </c>
      <c r="M102" s="267">
        <f>M103+M104+M105+M106+M107</f>
        <v>29714</v>
      </c>
    </row>
    <row r="103" spans="2:13" ht="36" x14ac:dyDescent="0.25">
      <c r="B103" s="60" t="s">
        <v>2</v>
      </c>
      <c r="C103" s="79" t="s">
        <v>3</v>
      </c>
      <c r="D103" s="37" t="s">
        <v>112</v>
      </c>
      <c r="E103" s="23" t="s">
        <v>364</v>
      </c>
      <c r="F103" s="23" t="s">
        <v>355</v>
      </c>
      <c r="G103" s="79" t="s">
        <v>113</v>
      </c>
      <c r="H103" s="23"/>
      <c r="I103" s="16"/>
      <c r="J103" s="339">
        <v>0</v>
      </c>
      <c r="K103" s="334">
        <v>0</v>
      </c>
      <c r="L103" s="335">
        <v>0</v>
      </c>
      <c r="M103" s="271"/>
    </row>
    <row r="104" spans="2:13" ht="48" x14ac:dyDescent="0.25">
      <c r="B104" s="55" t="s">
        <v>2</v>
      </c>
      <c r="C104" s="41" t="s">
        <v>3</v>
      </c>
      <c r="D104" s="507" t="s">
        <v>114</v>
      </c>
      <c r="E104" s="201" t="s">
        <v>364</v>
      </c>
      <c r="F104" s="201" t="s">
        <v>355</v>
      </c>
      <c r="G104" s="72" t="s">
        <v>517</v>
      </c>
      <c r="H104" s="24" t="s">
        <v>511</v>
      </c>
      <c r="I104" s="17"/>
      <c r="J104" s="344">
        <v>762.78</v>
      </c>
      <c r="K104" s="337">
        <v>359.82503000000003</v>
      </c>
      <c r="L104" s="335">
        <v>0.47170000000000001</v>
      </c>
      <c r="M104" s="275"/>
    </row>
    <row r="105" spans="2:13" ht="36" x14ac:dyDescent="0.25">
      <c r="B105" s="55" t="s">
        <v>2</v>
      </c>
      <c r="C105" s="41" t="s">
        <v>3</v>
      </c>
      <c r="D105" s="507">
        <v>433901</v>
      </c>
      <c r="E105" s="201" t="s">
        <v>364</v>
      </c>
      <c r="F105" s="201" t="s">
        <v>355</v>
      </c>
      <c r="G105" s="72" t="s">
        <v>513</v>
      </c>
      <c r="H105" s="24" t="s">
        <v>511</v>
      </c>
      <c r="I105" s="17"/>
      <c r="J105" s="344">
        <v>150</v>
      </c>
      <c r="K105" s="337">
        <v>83.671880000000002</v>
      </c>
      <c r="L105" s="335">
        <v>0.55779999999999996</v>
      </c>
      <c r="M105" s="275"/>
    </row>
    <row r="106" spans="2:13" ht="48" x14ac:dyDescent="0.25">
      <c r="B106" s="55" t="s">
        <v>2</v>
      </c>
      <c r="C106" s="41" t="s">
        <v>3</v>
      </c>
      <c r="D106" s="38" t="s">
        <v>115</v>
      </c>
      <c r="E106" s="85" t="s">
        <v>362</v>
      </c>
      <c r="F106" s="24" t="s">
        <v>355</v>
      </c>
      <c r="G106" s="41" t="s">
        <v>116</v>
      </c>
      <c r="H106" s="24"/>
      <c r="I106" s="17"/>
      <c r="J106" s="344">
        <v>2000</v>
      </c>
      <c r="K106" s="337">
        <v>0</v>
      </c>
      <c r="L106" s="335">
        <v>0</v>
      </c>
      <c r="M106" s="112">
        <v>2432</v>
      </c>
    </row>
    <row r="107" spans="2:13" ht="25.5" thickBot="1" x14ac:dyDescent="0.3">
      <c r="B107" s="61" t="s">
        <v>2</v>
      </c>
      <c r="C107" s="87" t="s">
        <v>3</v>
      </c>
      <c r="D107" s="39">
        <v>434700</v>
      </c>
      <c r="E107" s="245" t="s">
        <v>362</v>
      </c>
      <c r="F107" s="26" t="s">
        <v>355</v>
      </c>
      <c r="G107" s="241" t="s">
        <v>512</v>
      </c>
      <c r="H107" s="26"/>
      <c r="I107" s="18"/>
      <c r="J107" s="338">
        <v>309</v>
      </c>
      <c r="K107" s="343">
        <v>0</v>
      </c>
      <c r="L107" s="329">
        <v>0</v>
      </c>
      <c r="M107" s="279">
        <v>27282</v>
      </c>
    </row>
    <row r="108" spans="2:13" ht="41.25" customHeight="1" thickBot="1" x14ac:dyDescent="0.3">
      <c r="B108" s="95" t="s">
        <v>2</v>
      </c>
      <c r="C108" s="59" t="s">
        <v>3</v>
      </c>
      <c r="D108" s="249">
        <v>434900</v>
      </c>
      <c r="E108" s="222" t="s">
        <v>362</v>
      </c>
      <c r="F108" s="30" t="s">
        <v>355</v>
      </c>
      <c r="G108" s="249" t="s">
        <v>539</v>
      </c>
      <c r="H108" s="30"/>
      <c r="I108" s="31"/>
      <c r="J108" s="10">
        <f>J109+J110+J111</f>
        <v>129602</v>
      </c>
      <c r="K108" s="10">
        <v>0</v>
      </c>
      <c r="L108" s="253">
        <v>0</v>
      </c>
      <c r="M108" s="280">
        <f>M109+M110+M111</f>
        <v>127434</v>
      </c>
    </row>
    <row r="109" spans="2:13" x14ac:dyDescent="0.25">
      <c r="B109" s="60" t="s">
        <v>2</v>
      </c>
      <c r="C109" s="79" t="s">
        <v>3</v>
      </c>
      <c r="D109" s="37">
        <v>434901</v>
      </c>
      <c r="E109" s="246" t="s">
        <v>362</v>
      </c>
      <c r="F109" s="23" t="s">
        <v>355</v>
      </c>
      <c r="G109" s="79" t="s">
        <v>540</v>
      </c>
      <c r="H109" s="23"/>
      <c r="I109" s="16"/>
      <c r="J109" s="333">
        <v>108909</v>
      </c>
      <c r="K109" s="334">
        <v>0</v>
      </c>
      <c r="L109" s="335">
        <v>0</v>
      </c>
      <c r="M109" s="281">
        <v>111471</v>
      </c>
    </row>
    <row r="110" spans="2:13" x14ac:dyDescent="0.25">
      <c r="B110" s="55" t="s">
        <v>2</v>
      </c>
      <c r="C110" s="41" t="s">
        <v>3</v>
      </c>
      <c r="D110" s="38">
        <v>434902</v>
      </c>
      <c r="E110" s="85" t="s">
        <v>362</v>
      </c>
      <c r="F110" s="24" t="s">
        <v>355</v>
      </c>
      <c r="G110" s="41" t="s">
        <v>541</v>
      </c>
      <c r="H110" s="24"/>
      <c r="I110" s="17"/>
      <c r="J110" s="336">
        <v>0</v>
      </c>
      <c r="K110" s="337">
        <v>0</v>
      </c>
      <c r="L110" s="335">
        <v>0</v>
      </c>
      <c r="M110" s="110">
        <v>0</v>
      </c>
    </row>
    <row r="111" spans="2:13" x14ac:dyDescent="0.25">
      <c r="B111" s="55" t="s">
        <v>2</v>
      </c>
      <c r="C111" s="41" t="s">
        <v>3</v>
      </c>
      <c r="D111" s="38">
        <v>434903</v>
      </c>
      <c r="E111" s="85" t="s">
        <v>362</v>
      </c>
      <c r="F111" s="24" t="s">
        <v>355</v>
      </c>
      <c r="G111" s="41" t="s">
        <v>107</v>
      </c>
      <c r="H111" s="24"/>
      <c r="I111" s="17"/>
      <c r="J111" s="336">
        <v>20693</v>
      </c>
      <c r="K111" s="337">
        <v>0</v>
      </c>
      <c r="L111" s="335">
        <v>0</v>
      </c>
      <c r="M111" s="110">
        <v>15963</v>
      </c>
    </row>
    <row r="112" spans="2:13" ht="23.25" customHeight="1" thickBot="1" x14ac:dyDescent="0.3">
      <c r="B112" s="61" t="s">
        <v>2</v>
      </c>
      <c r="C112" s="87" t="s">
        <v>3</v>
      </c>
      <c r="D112" s="39">
        <v>451601</v>
      </c>
      <c r="E112" s="245" t="s">
        <v>362</v>
      </c>
      <c r="F112" s="26" t="s">
        <v>355</v>
      </c>
      <c r="G112" s="87" t="s">
        <v>117</v>
      </c>
      <c r="H112" s="26"/>
      <c r="I112" s="18"/>
      <c r="J112" s="336"/>
      <c r="K112" s="343">
        <v>0</v>
      </c>
      <c r="L112" s="329">
        <v>0</v>
      </c>
      <c r="M112" s="279">
        <v>2</v>
      </c>
    </row>
    <row r="113" spans="2:13" ht="36" customHeight="1" thickBot="1" x14ac:dyDescent="0.3">
      <c r="B113" s="95" t="s">
        <v>2</v>
      </c>
      <c r="C113" s="59" t="s">
        <v>3</v>
      </c>
      <c r="D113" s="249">
        <v>454800</v>
      </c>
      <c r="E113" s="222" t="s">
        <v>362</v>
      </c>
      <c r="F113" s="30" t="s">
        <v>355</v>
      </c>
      <c r="G113" s="222" t="s">
        <v>544</v>
      </c>
      <c r="H113" s="30"/>
      <c r="I113" s="31"/>
      <c r="J113" s="10">
        <f>J114+J115+J116</f>
        <v>28706</v>
      </c>
      <c r="K113" s="10">
        <f t="shared" ref="K113" si="18">K114+K115+K116</f>
        <v>14120.561860000002</v>
      </c>
      <c r="L113" s="253">
        <v>0.49159999999999998</v>
      </c>
      <c r="M113" s="280">
        <f>M114+M115+M116</f>
        <v>82000</v>
      </c>
    </row>
    <row r="114" spans="2:13" ht="24" x14ac:dyDescent="0.25">
      <c r="B114" s="60" t="s">
        <v>2</v>
      </c>
      <c r="C114" s="79" t="s">
        <v>3</v>
      </c>
      <c r="D114" s="37">
        <v>454801</v>
      </c>
      <c r="E114" s="246" t="s">
        <v>362</v>
      </c>
      <c r="F114" s="23" t="s">
        <v>355</v>
      </c>
      <c r="G114" s="79" t="s">
        <v>121</v>
      </c>
      <c r="H114" s="23"/>
      <c r="I114" s="16"/>
      <c r="J114" s="333">
        <v>6</v>
      </c>
      <c r="K114" s="334">
        <v>5343.4434300000003</v>
      </c>
      <c r="L114" s="335">
        <v>890.57389999999998</v>
      </c>
      <c r="M114" s="274">
        <v>794</v>
      </c>
    </row>
    <row r="115" spans="2:13" ht="24" x14ac:dyDescent="0.25">
      <c r="B115" s="55" t="s">
        <v>2</v>
      </c>
      <c r="C115" s="41" t="s">
        <v>3</v>
      </c>
      <c r="D115" s="38">
        <v>454802</v>
      </c>
      <c r="E115" s="85" t="s">
        <v>362</v>
      </c>
      <c r="F115" s="24" t="s">
        <v>355</v>
      </c>
      <c r="G115" s="41" t="s">
        <v>123</v>
      </c>
      <c r="H115" s="24"/>
      <c r="I115" s="17"/>
      <c r="J115" s="336">
        <v>0</v>
      </c>
      <c r="K115" s="337">
        <v>0</v>
      </c>
      <c r="L115" s="335">
        <v>0</v>
      </c>
      <c r="M115" s="269">
        <v>1954</v>
      </c>
    </row>
    <row r="116" spans="2:13" ht="15.75" thickBot="1" x14ac:dyDescent="0.3">
      <c r="B116" s="61" t="s">
        <v>2</v>
      </c>
      <c r="C116" s="87" t="s">
        <v>3</v>
      </c>
      <c r="D116" s="39">
        <v>454803</v>
      </c>
      <c r="E116" s="245" t="s">
        <v>362</v>
      </c>
      <c r="F116" s="26" t="s">
        <v>355</v>
      </c>
      <c r="G116" s="87" t="s">
        <v>125</v>
      </c>
      <c r="H116" s="26"/>
      <c r="I116" s="233"/>
      <c r="J116" s="354">
        <v>28700</v>
      </c>
      <c r="K116" s="343">
        <v>8777.1184300000004</v>
      </c>
      <c r="L116" s="329">
        <v>0.30580000000000002</v>
      </c>
      <c r="M116" s="278">
        <v>79252</v>
      </c>
    </row>
    <row r="117" spans="2:13" s="231" customFormat="1" ht="36.75" thickBot="1" x14ac:dyDescent="0.3">
      <c r="B117" s="95" t="s">
        <v>2</v>
      </c>
      <c r="C117" s="68" t="s">
        <v>3</v>
      </c>
      <c r="D117" s="508">
        <v>454900</v>
      </c>
      <c r="E117" s="238" t="s">
        <v>362</v>
      </c>
      <c r="F117" s="238" t="s">
        <v>355</v>
      </c>
      <c r="G117" s="239" t="s">
        <v>545</v>
      </c>
      <c r="H117" s="238"/>
      <c r="I117" s="240"/>
      <c r="J117" s="10">
        <f>J118+J119+J120</f>
        <v>0</v>
      </c>
      <c r="K117" s="10">
        <f t="shared" ref="K117" si="19">K118+K119+K120</f>
        <v>156.64125000000001</v>
      </c>
      <c r="L117" s="253">
        <v>0</v>
      </c>
      <c r="M117" s="267">
        <f>M118+M119+M120</f>
        <v>2619</v>
      </c>
    </row>
    <row r="118" spans="2:13" s="231" customFormat="1" ht="24" x14ac:dyDescent="0.25">
      <c r="B118" s="60" t="s">
        <v>2</v>
      </c>
      <c r="C118" s="234" t="s">
        <v>3</v>
      </c>
      <c r="D118" s="53">
        <v>454901</v>
      </c>
      <c r="E118" s="235" t="s">
        <v>362</v>
      </c>
      <c r="F118" s="236" t="s">
        <v>355</v>
      </c>
      <c r="G118" s="79" t="s">
        <v>121</v>
      </c>
      <c r="H118" s="235"/>
      <c r="I118" s="237"/>
      <c r="J118" s="339">
        <v>0</v>
      </c>
      <c r="K118" s="334">
        <v>0</v>
      </c>
      <c r="L118" s="335">
        <v>0</v>
      </c>
      <c r="M118" s="271">
        <v>0</v>
      </c>
    </row>
    <row r="119" spans="2:13" s="231" customFormat="1" ht="24" x14ac:dyDescent="0.25">
      <c r="B119" s="55" t="s">
        <v>2</v>
      </c>
      <c r="C119" s="230" t="s">
        <v>3</v>
      </c>
      <c r="D119" s="509">
        <v>454902</v>
      </c>
      <c r="E119" s="228" t="s">
        <v>362</v>
      </c>
      <c r="F119" s="232" t="s">
        <v>355</v>
      </c>
      <c r="G119" s="41" t="s">
        <v>123</v>
      </c>
      <c r="H119" s="228"/>
      <c r="I119" s="229"/>
      <c r="J119" s="344">
        <v>0</v>
      </c>
      <c r="K119" s="337">
        <v>0</v>
      </c>
      <c r="L119" s="335">
        <v>0</v>
      </c>
      <c r="M119" s="275">
        <v>0</v>
      </c>
    </row>
    <row r="120" spans="2:13" x14ac:dyDescent="0.25">
      <c r="B120" s="55" t="s">
        <v>2</v>
      </c>
      <c r="C120" s="41" t="s">
        <v>3</v>
      </c>
      <c r="D120" s="38">
        <v>454903</v>
      </c>
      <c r="E120" s="85" t="s">
        <v>362</v>
      </c>
      <c r="F120" s="24" t="s">
        <v>355</v>
      </c>
      <c r="G120" s="41" t="s">
        <v>125</v>
      </c>
      <c r="H120" s="24"/>
      <c r="I120" s="219"/>
      <c r="J120" s="336">
        <v>0</v>
      </c>
      <c r="K120" s="337">
        <v>156.64125000000001</v>
      </c>
      <c r="L120" s="335">
        <v>0</v>
      </c>
      <c r="M120" s="110">
        <v>2619</v>
      </c>
    </row>
    <row r="121" spans="2:13" ht="22.5" customHeight="1" x14ac:dyDescent="0.25">
      <c r="B121" s="55" t="s">
        <v>2</v>
      </c>
      <c r="C121" s="41" t="s">
        <v>3</v>
      </c>
      <c r="D121" s="38">
        <v>460500</v>
      </c>
      <c r="E121" s="85" t="s">
        <v>362</v>
      </c>
      <c r="F121" s="24" t="s">
        <v>355</v>
      </c>
      <c r="G121" s="41" t="s">
        <v>489</v>
      </c>
      <c r="H121" s="24"/>
      <c r="I121" s="17"/>
      <c r="J121" s="344">
        <v>22870</v>
      </c>
      <c r="K121" s="337">
        <v>0</v>
      </c>
      <c r="L121" s="335">
        <v>0</v>
      </c>
      <c r="M121" s="275"/>
    </row>
    <row r="122" spans="2:13" ht="48.75" thickBot="1" x14ac:dyDescent="0.3">
      <c r="B122" s="61" t="s">
        <v>2</v>
      </c>
      <c r="C122" s="87" t="s">
        <v>3</v>
      </c>
      <c r="D122" s="39" t="s">
        <v>118</v>
      </c>
      <c r="E122" s="245" t="s">
        <v>362</v>
      </c>
      <c r="F122" s="26" t="s">
        <v>355</v>
      </c>
      <c r="G122" s="87" t="s">
        <v>119</v>
      </c>
      <c r="H122" s="26"/>
      <c r="I122" s="18"/>
      <c r="J122" s="343">
        <v>0</v>
      </c>
      <c r="K122" s="343">
        <v>0</v>
      </c>
      <c r="L122" s="329" t="e">
        <f t="shared" ref="L122" si="20">K122/F122</f>
        <v>#VALUE!</v>
      </c>
      <c r="M122" s="279">
        <v>0</v>
      </c>
    </row>
    <row r="123" spans="2:13" ht="48.75" thickBot="1" x14ac:dyDescent="0.3">
      <c r="B123" s="95" t="s">
        <v>2</v>
      </c>
      <c r="C123" s="59" t="s">
        <v>3</v>
      </c>
      <c r="D123" s="249">
        <v>480000</v>
      </c>
      <c r="E123" s="222" t="s">
        <v>362</v>
      </c>
      <c r="F123" s="30" t="s">
        <v>355</v>
      </c>
      <c r="G123" s="121" t="s">
        <v>546</v>
      </c>
      <c r="H123" s="222"/>
      <c r="I123" s="224"/>
      <c r="J123" s="11">
        <f>J124+J128</f>
        <v>1815.13</v>
      </c>
      <c r="K123" s="11">
        <f t="shared" ref="K123" si="21">K124+K128</f>
        <v>1782.2900399999999</v>
      </c>
      <c r="L123" s="253">
        <v>0.9819</v>
      </c>
      <c r="M123" s="280">
        <f>M124+M128</f>
        <v>63</v>
      </c>
    </row>
    <row r="124" spans="2:13" ht="36.75" customHeight="1" thickBot="1" x14ac:dyDescent="0.3">
      <c r="B124" s="95" t="s">
        <v>2</v>
      </c>
      <c r="C124" s="59" t="s">
        <v>3</v>
      </c>
      <c r="D124" s="249">
        <v>480100</v>
      </c>
      <c r="E124" s="222" t="s">
        <v>362</v>
      </c>
      <c r="F124" s="30" t="s">
        <v>355</v>
      </c>
      <c r="G124" s="121" t="s">
        <v>547</v>
      </c>
      <c r="H124" s="222"/>
      <c r="I124" s="224"/>
      <c r="J124" s="11">
        <f>J125+J126+J127</f>
        <v>1752.13</v>
      </c>
      <c r="K124" s="11">
        <f t="shared" ref="K124" si="22">K125+K126+K127</f>
        <v>1747.66284</v>
      </c>
      <c r="L124" s="253">
        <v>0.99750000000000005</v>
      </c>
      <c r="M124" s="280">
        <f>M125+M126+M127</f>
        <v>63</v>
      </c>
    </row>
    <row r="125" spans="2:13" ht="24" x14ac:dyDescent="0.25">
      <c r="B125" s="60" t="s">
        <v>2</v>
      </c>
      <c r="C125" s="79" t="s">
        <v>3</v>
      </c>
      <c r="D125" s="37" t="s">
        <v>120</v>
      </c>
      <c r="E125" s="246" t="s">
        <v>362</v>
      </c>
      <c r="F125" s="23" t="s">
        <v>355</v>
      </c>
      <c r="G125" s="79" t="s">
        <v>121</v>
      </c>
      <c r="H125" s="23"/>
      <c r="I125" s="16"/>
      <c r="J125" s="345">
        <v>0</v>
      </c>
      <c r="K125" s="334">
        <v>0</v>
      </c>
      <c r="L125" s="335">
        <v>0</v>
      </c>
      <c r="M125" s="281"/>
    </row>
    <row r="126" spans="2:13" ht="24" x14ac:dyDescent="0.25">
      <c r="B126" s="55" t="s">
        <v>2</v>
      </c>
      <c r="C126" s="41" t="s">
        <v>3</v>
      </c>
      <c r="D126" s="38" t="s">
        <v>122</v>
      </c>
      <c r="E126" s="85" t="s">
        <v>362</v>
      </c>
      <c r="F126" s="24" t="s">
        <v>355</v>
      </c>
      <c r="G126" s="41" t="s">
        <v>123</v>
      </c>
      <c r="H126" s="24"/>
      <c r="I126" s="17"/>
      <c r="J126" s="340">
        <v>1752.13</v>
      </c>
      <c r="K126" s="337">
        <v>1747.66284</v>
      </c>
      <c r="L126" s="335">
        <v>0.99750000000000005</v>
      </c>
      <c r="M126" s="110">
        <v>63</v>
      </c>
    </row>
    <row r="127" spans="2:13" ht="15.75" thickBot="1" x14ac:dyDescent="0.3">
      <c r="B127" s="61" t="s">
        <v>2</v>
      </c>
      <c r="C127" s="87" t="s">
        <v>3</v>
      </c>
      <c r="D127" s="39" t="s">
        <v>124</v>
      </c>
      <c r="E127" s="245" t="s">
        <v>362</v>
      </c>
      <c r="F127" s="26" t="s">
        <v>355</v>
      </c>
      <c r="G127" s="87" t="s">
        <v>125</v>
      </c>
      <c r="H127" s="26"/>
      <c r="I127" s="18"/>
      <c r="J127" s="355">
        <v>0</v>
      </c>
      <c r="K127" s="343">
        <v>0</v>
      </c>
      <c r="L127" s="329">
        <v>0</v>
      </c>
      <c r="M127" s="282"/>
    </row>
    <row r="128" spans="2:13" ht="28.5" customHeight="1" thickBot="1" x14ac:dyDescent="0.3">
      <c r="B128" s="95" t="s">
        <v>2</v>
      </c>
      <c r="C128" s="59" t="s">
        <v>3</v>
      </c>
      <c r="D128" s="249">
        <v>4800200</v>
      </c>
      <c r="E128" s="222" t="s">
        <v>362</v>
      </c>
      <c r="F128" s="30" t="s">
        <v>355</v>
      </c>
      <c r="G128" s="121" t="s">
        <v>548</v>
      </c>
      <c r="H128" s="222"/>
      <c r="I128" s="31"/>
      <c r="J128" s="11">
        <f>J129+J130+J131</f>
        <v>63</v>
      </c>
      <c r="K128" s="11">
        <f t="shared" ref="K128" si="23">K129+K130+K131</f>
        <v>34.627200000000002</v>
      </c>
      <c r="L128" s="253">
        <v>0.54959999999999998</v>
      </c>
      <c r="M128" s="280">
        <f>M129+M130+M131</f>
        <v>0</v>
      </c>
    </row>
    <row r="129" spans="2:13" ht="24" x14ac:dyDescent="0.25">
      <c r="B129" s="60" t="s">
        <v>2</v>
      </c>
      <c r="C129" s="79" t="s">
        <v>3</v>
      </c>
      <c r="D129" s="37" t="s">
        <v>126</v>
      </c>
      <c r="E129" s="246" t="s">
        <v>362</v>
      </c>
      <c r="F129" s="23" t="s">
        <v>355</v>
      </c>
      <c r="G129" s="79" t="s">
        <v>121</v>
      </c>
      <c r="H129" s="23"/>
      <c r="I129" s="16"/>
      <c r="J129" s="345">
        <v>12</v>
      </c>
      <c r="K129" s="334">
        <v>11.787129999999999</v>
      </c>
      <c r="L129" s="335">
        <v>0.98229999999999995</v>
      </c>
      <c r="M129" s="281"/>
    </row>
    <row r="130" spans="2:13" ht="24" x14ac:dyDescent="0.25">
      <c r="B130" s="55" t="s">
        <v>2</v>
      </c>
      <c r="C130" s="41" t="s">
        <v>3</v>
      </c>
      <c r="D130" s="38" t="s">
        <v>127</v>
      </c>
      <c r="E130" s="85" t="s">
        <v>362</v>
      </c>
      <c r="F130" s="24" t="s">
        <v>355</v>
      </c>
      <c r="G130" s="41" t="s">
        <v>123</v>
      </c>
      <c r="H130" s="24"/>
      <c r="I130" s="17"/>
      <c r="J130" s="340">
        <v>37</v>
      </c>
      <c r="K130" s="337">
        <v>36.772910000000003</v>
      </c>
      <c r="L130" s="335">
        <v>0.99390000000000001</v>
      </c>
      <c r="M130" s="110"/>
    </row>
    <row r="131" spans="2:13" ht="15.75" thickBot="1" x14ac:dyDescent="0.3">
      <c r="B131" s="55" t="s">
        <v>2</v>
      </c>
      <c r="C131" s="41" t="s">
        <v>3</v>
      </c>
      <c r="D131" s="38" t="s">
        <v>128</v>
      </c>
      <c r="E131" s="85" t="s">
        <v>362</v>
      </c>
      <c r="F131" s="24" t="s">
        <v>355</v>
      </c>
      <c r="G131" s="41" t="s">
        <v>125</v>
      </c>
      <c r="H131" s="24"/>
      <c r="I131" s="17"/>
      <c r="J131" s="340">
        <v>14</v>
      </c>
      <c r="K131" s="337">
        <v>-13.932840000000001</v>
      </c>
      <c r="L131" s="329">
        <v>0</v>
      </c>
      <c r="M131" s="110"/>
    </row>
    <row r="132" spans="2:13" ht="26.25" customHeight="1" thickBot="1" x14ac:dyDescent="0.3">
      <c r="B132" s="595" t="s">
        <v>130</v>
      </c>
      <c r="C132" s="596"/>
      <c r="D132" s="596"/>
      <c r="E132" s="596"/>
      <c r="F132" s="596"/>
      <c r="G132" s="596"/>
      <c r="H132" s="596"/>
      <c r="I132" s="596"/>
      <c r="J132" s="596"/>
      <c r="K132" s="596"/>
      <c r="L132" s="596"/>
      <c r="M132" s="597"/>
    </row>
    <row r="133" spans="2:13" ht="26.25" customHeight="1" thickBot="1" x14ac:dyDescent="0.3">
      <c r="B133" s="214" t="s">
        <v>131</v>
      </c>
      <c r="C133" s="214" t="s">
        <v>3</v>
      </c>
      <c r="D133" s="510"/>
      <c r="E133" s="156" t="s">
        <v>364</v>
      </c>
      <c r="F133" s="171" t="s">
        <v>355</v>
      </c>
      <c r="G133" s="598" t="s">
        <v>462</v>
      </c>
      <c r="H133" s="598"/>
      <c r="I133" s="598"/>
      <c r="J133" s="356">
        <f>J176+J191+J194+J196+J237+J346+J364+J416+J475+J520+J543+J553+J583</f>
        <v>789598.61</v>
      </c>
      <c r="K133" s="356">
        <f>K176+K191+K194+K196+K237+K346+K364+K416+K475+K520+K543+K553+K583</f>
        <v>751909.70123000001</v>
      </c>
      <c r="L133" s="357">
        <f>K133/J133</f>
        <v>0.95226826859535629</v>
      </c>
      <c r="M133" s="283">
        <f>M176+M191+M197+M237+M346+M364+M416+M475+M520+M543+M553+M583</f>
        <v>730977.73599999992</v>
      </c>
    </row>
    <row r="134" spans="2:13" ht="26.25" customHeight="1" thickBot="1" x14ac:dyDescent="0.3">
      <c r="B134" s="214" t="s">
        <v>131</v>
      </c>
      <c r="C134" s="214" t="s">
        <v>3</v>
      </c>
      <c r="D134" s="510"/>
      <c r="E134" s="156" t="s">
        <v>362</v>
      </c>
      <c r="F134" s="171" t="s">
        <v>355</v>
      </c>
      <c r="G134" s="598" t="s">
        <v>463</v>
      </c>
      <c r="H134" s="598"/>
      <c r="I134" s="598"/>
      <c r="J134" s="358">
        <f>J177+J192+J238+J347+J365+J417+J476+J521+J544+J584+J554</f>
        <v>265025.96000000002</v>
      </c>
      <c r="K134" s="358">
        <f>K177+K192+K238+K347+K365+K417+K476+K521+K544+K584+K554</f>
        <v>63013.417529999999</v>
      </c>
      <c r="L134" s="357">
        <f>K134/J134</f>
        <v>0.23776318942491517</v>
      </c>
      <c r="M134" s="283">
        <f>M177+M192+M238+M347+M365+M417+M476+M521+M544+M584+M554</f>
        <v>434674.77</v>
      </c>
    </row>
    <row r="135" spans="2:13" x14ac:dyDescent="0.25">
      <c r="B135" s="60" t="s">
        <v>131</v>
      </c>
      <c r="C135" s="79" t="s">
        <v>3</v>
      </c>
      <c r="D135" s="37">
        <v>510103</v>
      </c>
      <c r="E135" s="23" t="s">
        <v>364</v>
      </c>
      <c r="F135" s="23" t="s">
        <v>355</v>
      </c>
      <c r="G135" s="79" t="s">
        <v>133</v>
      </c>
      <c r="H135" s="153">
        <v>10</v>
      </c>
      <c r="I135" s="154" t="s">
        <v>341</v>
      </c>
      <c r="J135" s="359">
        <f>J136+J137+J138+J139+J140+J141+J142+J143</f>
        <v>43010.5</v>
      </c>
      <c r="K135" s="334">
        <f>SUM(K136:K143)</f>
        <v>42909.506000000001</v>
      </c>
      <c r="L135" s="335">
        <f>K135/J135</f>
        <v>0.99765187570476976</v>
      </c>
      <c r="M135" s="111">
        <f>M136+M137+M138+M139+M140+M141+M142+M143</f>
        <v>42909.506000000001</v>
      </c>
    </row>
    <row r="136" spans="2:13" x14ac:dyDescent="0.25">
      <c r="B136" s="60" t="s">
        <v>131</v>
      </c>
      <c r="C136" s="79" t="s">
        <v>3</v>
      </c>
      <c r="D136" s="37" t="s">
        <v>132</v>
      </c>
      <c r="E136" s="23" t="s">
        <v>364</v>
      </c>
      <c r="F136" s="24" t="s">
        <v>355</v>
      </c>
      <c r="G136" s="79" t="s">
        <v>133</v>
      </c>
      <c r="H136" s="37" t="s">
        <v>134</v>
      </c>
      <c r="I136" s="79" t="s">
        <v>135</v>
      </c>
      <c r="J136" s="360">
        <v>39256.6</v>
      </c>
      <c r="K136" s="345">
        <v>39242.593000000001</v>
      </c>
      <c r="L136" s="335">
        <f t="shared" ref="L136:L175" si="24">K136/J136</f>
        <v>0.99964319375595445</v>
      </c>
      <c r="M136" s="281">
        <f>39242.593+K142-M142</f>
        <v>39516.493000000002</v>
      </c>
    </row>
    <row r="137" spans="2:13" x14ac:dyDescent="0.25">
      <c r="B137" s="55" t="s">
        <v>131</v>
      </c>
      <c r="C137" s="41" t="s">
        <v>3</v>
      </c>
      <c r="D137" s="38" t="s">
        <v>132</v>
      </c>
      <c r="E137" s="23" t="s">
        <v>364</v>
      </c>
      <c r="F137" s="24" t="s">
        <v>355</v>
      </c>
      <c r="G137" s="41" t="s">
        <v>133</v>
      </c>
      <c r="H137" s="38">
        <v>100106</v>
      </c>
      <c r="I137" s="41" t="s">
        <v>136</v>
      </c>
      <c r="J137" s="361">
        <v>550</v>
      </c>
      <c r="K137" s="340">
        <v>523.94500000000005</v>
      </c>
      <c r="L137" s="335">
        <f t="shared" si="24"/>
        <v>0.95262727272727277</v>
      </c>
      <c r="M137" s="110">
        <v>523.94500000000005</v>
      </c>
    </row>
    <row r="138" spans="2:13" ht="23.25" customHeight="1" x14ac:dyDescent="0.25">
      <c r="B138" s="55" t="s">
        <v>131</v>
      </c>
      <c r="C138" s="41" t="s">
        <v>3</v>
      </c>
      <c r="D138" s="38" t="s">
        <v>132</v>
      </c>
      <c r="E138" s="23" t="s">
        <v>364</v>
      </c>
      <c r="F138" s="24" t="s">
        <v>355</v>
      </c>
      <c r="G138" s="41" t="s">
        <v>133</v>
      </c>
      <c r="H138" s="38" t="s">
        <v>137</v>
      </c>
      <c r="I138" s="41" t="s">
        <v>138</v>
      </c>
      <c r="J138" s="361">
        <v>670</v>
      </c>
      <c r="K138" s="340">
        <v>644.38800000000003</v>
      </c>
      <c r="L138" s="335">
        <f t="shared" si="24"/>
        <v>0.96177313432835831</v>
      </c>
      <c r="M138" s="110">
        <v>644.38800000000003</v>
      </c>
    </row>
    <row r="139" spans="2:13" hidden="1" x14ac:dyDescent="0.25">
      <c r="B139" s="55" t="s">
        <v>131</v>
      </c>
      <c r="C139" s="41" t="s">
        <v>3</v>
      </c>
      <c r="D139" s="38" t="s">
        <v>132</v>
      </c>
      <c r="E139" s="23" t="s">
        <v>364</v>
      </c>
      <c r="F139" s="24" t="s">
        <v>355</v>
      </c>
      <c r="G139" s="41" t="s">
        <v>133</v>
      </c>
      <c r="H139" s="38" t="s">
        <v>139</v>
      </c>
      <c r="I139" s="41" t="s">
        <v>140</v>
      </c>
      <c r="J139" s="361">
        <v>0</v>
      </c>
      <c r="K139" s="340">
        <v>0</v>
      </c>
      <c r="L139" s="335" t="e">
        <f t="shared" si="24"/>
        <v>#DIV/0!</v>
      </c>
      <c r="M139" s="110">
        <v>0</v>
      </c>
    </row>
    <row r="140" spans="2:13" x14ac:dyDescent="0.25">
      <c r="B140" s="55" t="s">
        <v>131</v>
      </c>
      <c r="C140" s="41" t="s">
        <v>3</v>
      </c>
      <c r="D140" s="38" t="s">
        <v>132</v>
      </c>
      <c r="E140" s="23" t="s">
        <v>364</v>
      </c>
      <c r="F140" s="24" t="s">
        <v>355</v>
      </c>
      <c r="G140" s="41" t="s">
        <v>133</v>
      </c>
      <c r="H140" s="38" t="s">
        <v>141</v>
      </c>
      <c r="I140" s="41" t="s">
        <v>142</v>
      </c>
      <c r="J140" s="361">
        <v>1088</v>
      </c>
      <c r="K140" s="340">
        <v>1055.9780000000001</v>
      </c>
      <c r="L140" s="335">
        <f t="shared" si="24"/>
        <v>0.97056801470588239</v>
      </c>
      <c r="M140" s="110">
        <v>1055.9780000000001</v>
      </c>
    </row>
    <row r="141" spans="2:13" hidden="1" x14ac:dyDescent="0.25">
      <c r="B141" s="55" t="s">
        <v>131</v>
      </c>
      <c r="C141" s="41" t="s">
        <v>3</v>
      </c>
      <c r="D141" s="38" t="s">
        <v>132</v>
      </c>
      <c r="E141" s="23" t="s">
        <v>364</v>
      </c>
      <c r="F141" s="24" t="s">
        <v>355</v>
      </c>
      <c r="G141" s="41" t="s">
        <v>133</v>
      </c>
      <c r="H141" s="38" t="s">
        <v>143</v>
      </c>
      <c r="I141" s="41" t="s">
        <v>144</v>
      </c>
      <c r="J141" s="361">
        <v>0</v>
      </c>
      <c r="K141" s="340">
        <v>0</v>
      </c>
      <c r="L141" s="335" t="e">
        <f t="shared" si="24"/>
        <v>#DIV/0!</v>
      </c>
      <c r="M141" s="110">
        <v>0</v>
      </c>
    </row>
    <row r="142" spans="2:13" x14ac:dyDescent="0.25">
      <c r="B142" s="55" t="s">
        <v>131</v>
      </c>
      <c r="C142" s="41" t="s">
        <v>3</v>
      </c>
      <c r="D142" s="38" t="s">
        <v>132</v>
      </c>
      <c r="E142" s="23" t="s">
        <v>364</v>
      </c>
      <c r="F142" s="24" t="s">
        <v>355</v>
      </c>
      <c r="G142" s="41" t="s">
        <v>133</v>
      </c>
      <c r="H142" s="38" t="s">
        <v>145</v>
      </c>
      <c r="I142" s="41" t="s">
        <v>146</v>
      </c>
      <c r="J142" s="361">
        <v>479.4</v>
      </c>
      <c r="K142" s="340">
        <v>478.4</v>
      </c>
      <c r="L142" s="335">
        <f t="shared" si="24"/>
        <v>0.99791405924071752</v>
      </c>
      <c r="M142" s="110">
        <v>204.5</v>
      </c>
    </row>
    <row r="143" spans="2:13" ht="24" x14ac:dyDescent="0.25">
      <c r="B143" s="55" t="s">
        <v>131</v>
      </c>
      <c r="C143" s="41" t="s">
        <v>3</v>
      </c>
      <c r="D143" s="38" t="s">
        <v>132</v>
      </c>
      <c r="E143" s="23" t="s">
        <v>364</v>
      </c>
      <c r="F143" s="24" t="s">
        <v>355</v>
      </c>
      <c r="G143" s="41" t="s">
        <v>133</v>
      </c>
      <c r="H143" s="38" t="s">
        <v>147</v>
      </c>
      <c r="I143" s="41" t="s">
        <v>148</v>
      </c>
      <c r="J143" s="361">
        <v>966.5</v>
      </c>
      <c r="K143" s="340">
        <v>964.202</v>
      </c>
      <c r="L143" s="335">
        <f t="shared" si="24"/>
        <v>0.99762234868080701</v>
      </c>
      <c r="M143" s="110">
        <v>964.202</v>
      </c>
    </row>
    <row r="144" spans="2:13" x14ac:dyDescent="0.25">
      <c r="B144" s="55" t="s">
        <v>131</v>
      </c>
      <c r="C144" s="41" t="s">
        <v>3</v>
      </c>
      <c r="D144" s="38" t="s">
        <v>132</v>
      </c>
      <c r="E144" s="23" t="s">
        <v>364</v>
      </c>
      <c r="F144" s="24" t="s">
        <v>355</v>
      </c>
      <c r="G144" s="41" t="s">
        <v>133</v>
      </c>
      <c r="H144" s="82">
        <v>20</v>
      </c>
      <c r="I144" s="83" t="s">
        <v>311</v>
      </c>
      <c r="J144" s="362">
        <f>SUM(J145:J163)</f>
        <v>26245.61</v>
      </c>
      <c r="K144" s="344">
        <f t="shared" ref="K144" si="25">SUM(K145:K163)</f>
        <v>21507.022670000002</v>
      </c>
      <c r="L144" s="335">
        <f t="shared" si="24"/>
        <v>0.81945219295722227</v>
      </c>
      <c r="M144" s="275">
        <f t="shared" ref="M144" si="26">SUM(M145:M163)</f>
        <v>21814.54</v>
      </c>
    </row>
    <row r="145" spans="2:13" x14ac:dyDescent="0.25">
      <c r="B145" s="55" t="s">
        <v>131</v>
      </c>
      <c r="C145" s="41" t="s">
        <v>3</v>
      </c>
      <c r="D145" s="38" t="s">
        <v>132</v>
      </c>
      <c r="E145" s="23" t="s">
        <v>364</v>
      </c>
      <c r="F145" s="24" t="s">
        <v>355</v>
      </c>
      <c r="G145" s="41" t="s">
        <v>133</v>
      </c>
      <c r="H145" s="38">
        <v>200101</v>
      </c>
      <c r="I145" s="41" t="s">
        <v>327</v>
      </c>
      <c r="J145" s="361">
        <v>140</v>
      </c>
      <c r="K145" s="340">
        <v>115.72320000000001</v>
      </c>
      <c r="L145" s="335">
        <f t="shared" si="24"/>
        <v>0.82659428571428573</v>
      </c>
      <c r="M145" s="275">
        <v>100</v>
      </c>
    </row>
    <row r="146" spans="2:13" x14ac:dyDescent="0.25">
      <c r="B146" s="55" t="s">
        <v>131</v>
      </c>
      <c r="C146" s="41" t="s">
        <v>3</v>
      </c>
      <c r="D146" s="38" t="s">
        <v>132</v>
      </c>
      <c r="E146" s="23" t="s">
        <v>364</v>
      </c>
      <c r="F146" s="24" t="s">
        <v>355</v>
      </c>
      <c r="G146" s="41" t="s">
        <v>133</v>
      </c>
      <c r="H146" s="38">
        <v>200102</v>
      </c>
      <c r="I146" s="41" t="s">
        <v>328</v>
      </c>
      <c r="J146" s="361">
        <v>9</v>
      </c>
      <c r="K146" s="340">
        <v>5.58324</v>
      </c>
      <c r="L146" s="335">
        <f t="shared" si="24"/>
        <v>0.62036000000000002</v>
      </c>
      <c r="M146" s="275">
        <v>20</v>
      </c>
    </row>
    <row r="147" spans="2:13" x14ac:dyDescent="0.25">
      <c r="B147" s="55" t="s">
        <v>131</v>
      </c>
      <c r="C147" s="41" t="s">
        <v>3</v>
      </c>
      <c r="D147" s="38" t="s">
        <v>132</v>
      </c>
      <c r="E147" s="23" t="s">
        <v>364</v>
      </c>
      <c r="F147" s="24" t="s">
        <v>355</v>
      </c>
      <c r="G147" s="41" t="s">
        <v>133</v>
      </c>
      <c r="H147" s="38">
        <v>200103</v>
      </c>
      <c r="I147" s="41" t="s">
        <v>329</v>
      </c>
      <c r="J147" s="361">
        <v>60</v>
      </c>
      <c r="K147" s="340">
        <v>43.525959999999998</v>
      </c>
      <c r="L147" s="335">
        <f t="shared" si="24"/>
        <v>0.72543266666666661</v>
      </c>
      <c r="M147" s="275">
        <v>60</v>
      </c>
    </row>
    <row r="148" spans="2:13" x14ac:dyDescent="0.25">
      <c r="B148" s="55" t="s">
        <v>131</v>
      </c>
      <c r="C148" s="41" t="s">
        <v>3</v>
      </c>
      <c r="D148" s="38" t="s">
        <v>132</v>
      </c>
      <c r="E148" s="23" t="s">
        <v>364</v>
      </c>
      <c r="F148" s="24" t="s">
        <v>355</v>
      </c>
      <c r="G148" s="41" t="s">
        <v>133</v>
      </c>
      <c r="H148" s="38">
        <v>200104</v>
      </c>
      <c r="I148" s="41" t="s">
        <v>330</v>
      </c>
      <c r="J148" s="361">
        <v>1</v>
      </c>
      <c r="K148" s="340">
        <v>0</v>
      </c>
      <c r="L148" s="335">
        <f t="shared" si="24"/>
        <v>0</v>
      </c>
      <c r="M148" s="275">
        <v>0</v>
      </c>
    </row>
    <row r="149" spans="2:13" ht="24" x14ac:dyDescent="0.25">
      <c r="B149" s="55" t="s">
        <v>131</v>
      </c>
      <c r="C149" s="41" t="s">
        <v>3</v>
      </c>
      <c r="D149" s="38" t="s">
        <v>132</v>
      </c>
      <c r="E149" s="23" t="s">
        <v>364</v>
      </c>
      <c r="F149" s="24" t="s">
        <v>355</v>
      </c>
      <c r="G149" s="41" t="s">
        <v>133</v>
      </c>
      <c r="H149" s="38">
        <v>200105</v>
      </c>
      <c r="I149" s="41" t="s">
        <v>331</v>
      </c>
      <c r="J149" s="361">
        <v>70</v>
      </c>
      <c r="K149" s="340">
        <v>56.592469999999999</v>
      </c>
      <c r="L149" s="335">
        <f t="shared" si="24"/>
        <v>0.80846385714285718</v>
      </c>
      <c r="M149" s="275">
        <v>70</v>
      </c>
    </row>
    <row r="150" spans="2:13" ht="24" x14ac:dyDescent="0.25">
      <c r="B150" s="55" t="s">
        <v>131</v>
      </c>
      <c r="C150" s="41" t="s">
        <v>3</v>
      </c>
      <c r="D150" s="38" t="s">
        <v>132</v>
      </c>
      <c r="E150" s="23" t="s">
        <v>364</v>
      </c>
      <c r="F150" s="24" t="s">
        <v>355</v>
      </c>
      <c r="G150" s="41" t="s">
        <v>133</v>
      </c>
      <c r="H150" s="38">
        <v>200108</v>
      </c>
      <c r="I150" s="41" t="s">
        <v>332</v>
      </c>
      <c r="J150" s="361">
        <v>322</v>
      </c>
      <c r="K150" s="340">
        <v>288.49707000000001</v>
      </c>
      <c r="L150" s="335">
        <f t="shared" si="24"/>
        <v>0.89595363354037272</v>
      </c>
      <c r="M150" s="275">
        <v>300</v>
      </c>
    </row>
    <row r="151" spans="2:13" ht="36" x14ac:dyDescent="0.25">
      <c r="B151" s="55" t="s">
        <v>131</v>
      </c>
      <c r="C151" s="41" t="s">
        <v>3</v>
      </c>
      <c r="D151" s="38" t="s">
        <v>132</v>
      </c>
      <c r="E151" s="23" t="s">
        <v>364</v>
      </c>
      <c r="F151" s="24" t="s">
        <v>355</v>
      </c>
      <c r="G151" s="41" t="s">
        <v>133</v>
      </c>
      <c r="H151" s="38">
        <v>200109</v>
      </c>
      <c r="I151" s="41" t="s">
        <v>570</v>
      </c>
      <c r="J151" s="361">
        <v>16870</v>
      </c>
      <c r="K151" s="337">
        <v>12680.665999999999</v>
      </c>
      <c r="L151" s="335">
        <f t="shared" si="24"/>
        <v>0.75166959098992292</v>
      </c>
      <c r="M151" s="112">
        <v>12880</v>
      </c>
    </row>
    <row r="152" spans="2:13" ht="24" x14ac:dyDescent="0.25">
      <c r="B152" s="55" t="s">
        <v>131</v>
      </c>
      <c r="C152" s="41" t="s">
        <v>3</v>
      </c>
      <c r="D152" s="38" t="s">
        <v>132</v>
      </c>
      <c r="E152" s="23" t="s">
        <v>364</v>
      </c>
      <c r="F152" s="24" t="s">
        <v>355</v>
      </c>
      <c r="G152" s="41" t="s">
        <v>133</v>
      </c>
      <c r="H152" s="38">
        <v>200130</v>
      </c>
      <c r="I152" s="41" t="s">
        <v>179</v>
      </c>
      <c r="J152" s="361">
        <v>2889.52</v>
      </c>
      <c r="K152" s="340">
        <v>2689.7739799999999</v>
      </c>
      <c r="L152" s="335">
        <f t="shared" si="24"/>
        <v>0.93087224867798113</v>
      </c>
      <c r="M152" s="112">
        <f>2100+523-298.41+38.95</f>
        <v>2363.54</v>
      </c>
    </row>
    <row r="153" spans="2:13" x14ac:dyDescent="0.25">
      <c r="B153" s="55"/>
      <c r="C153" s="41" t="s">
        <v>3</v>
      </c>
      <c r="D153" s="38" t="s">
        <v>132</v>
      </c>
      <c r="E153" s="23" t="s">
        <v>364</v>
      </c>
      <c r="F153" s="24" t="s">
        <v>355</v>
      </c>
      <c r="G153" s="41" t="s">
        <v>133</v>
      </c>
      <c r="H153" s="38">
        <v>200530</v>
      </c>
      <c r="I153" s="41" t="s">
        <v>350</v>
      </c>
      <c r="J153" s="361">
        <v>1.5</v>
      </c>
      <c r="K153" s="340">
        <v>0.27800000000000002</v>
      </c>
      <c r="L153" s="335">
        <f t="shared" si="24"/>
        <v>0.18533333333333335</v>
      </c>
      <c r="M153" s="275">
        <v>2</v>
      </c>
    </row>
    <row r="154" spans="2:13" ht="24" x14ac:dyDescent="0.25">
      <c r="B154" s="55" t="s">
        <v>131</v>
      </c>
      <c r="C154" s="41" t="s">
        <v>3</v>
      </c>
      <c r="D154" s="38" t="s">
        <v>132</v>
      </c>
      <c r="E154" s="23" t="s">
        <v>364</v>
      </c>
      <c r="F154" s="24" t="s">
        <v>355</v>
      </c>
      <c r="G154" s="41" t="s">
        <v>133</v>
      </c>
      <c r="H154" s="38">
        <v>200601</v>
      </c>
      <c r="I154" s="41" t="s">
        <v>333</v>
      </c>
      <c r="J154" s="361">
        <v>1</v>
      </c>
      <c r="K154" s="340">
        <v>0.87104000000000004</v>
      </c>
      <c r="L154" s="335">
        <f t="shared" si="24"/>
        <v>0.87104000000000004</v>
      </c>
      <c r="M154" s="275">
        <v>2</v>
      </c>
    </row>
    <row r="155" spans="2:13" x14ac:dyDescent="0.25">
      <c r="B155" s="55" t="s">
        <v>131</v>
      </c>
      <c r="C155" s="41" t="s">
        <v>3</v>
      </c>
      <c r="D155" s="38" t="s">
        <v>132</v>
      </c>
      <c r="E155" s="23" t="s">
        <v>364</v>
      </c>
      <c r="F155" s="24" t="s">
        <v>355</v>
      </c>
      <c r="G155" s="41" t="s">
        <v>133</v>
      </c>
      <c r="H155" s="38">
        <v>200602</v>
      </c>
      <c r="I155" s="41" t="s">
        <v>334</v>
      </c>
      <c r="J155" s="361">
        <v>10</v>
      </c>
      <c r="K155" s="340">
        <v>0</v>
      </c>
      <c r="L155" s="335">
        <f t="shared" si="24"/>
        <v>0</v>
      </c>
      <c r="M155" s="275">
        <v>10</v>
      </c>
    </row>
    <row r="156" spans="2:13" ht="24" x14ac:dyDescent="0.25">
      <c r="B156" s="55" t="s">
        <v>131</v>
      </c>
      <c r="C156" s="41" t="s">
        <v>3</v>
      </c>
      <c r="D156" s="38" t="s">
        <v>132</v>
      </c>
      <c r="E156" s="23" t="s">
        <v>364</v>
      </c>
      <c r="F156" s="24" t="s">
        <v>355</v>
      </c>
      <c r="G156" s="41" t="s">
        <v>133</v>
      </c>
      <c r="H156" s="38">
        <v>201100</v>
      </c>
      <c r="I156" s="41" t="s">
        <v>335</v>
      </c>
      <c r="J156" s="361">
        <v>1</v>
      </c>
      <c r="K156" s="340">
        <v>0</v>
      </c>
      <c r="L156" s="335">
        <f t="shared" si="24"/>
        <v>0</v>
      </c>
      <c r="M156" s="275">
        <v>0</v>
      </c>
    </row>
    <row r="157" spans="2:13" x14ac:dyDescent="0.25">
      <c r="B157" s="55" t="s">
        <v>131</v>
      </c>
      <c r="C157" s="41" t="s">
        <v>3</v>
      </c>
      <c r="D157" s="38" t="s">
        <v>132</v>
      </c>
      <c r="E157" s="23" t="s">
        <v>364</v>
      </c>
      <c r="F157" s="24" t="s">
        <v>355</v>
      </c>
      <c r="G157" s="41" t="s">
        <v>133</v>
      </c>
      <c r="H157" s="38">
        <v>201200</v>
      </c>
      <c r="I157" s="41" t="s">
        <v>336</v>
      </c>
      <c r="J157" s="361">
        <v>20</v>
      </c>
      <c r="K157" s="340">
        <v>18.58971</v>
      </c>
      <c r="L157" s="335">
        <f t="shared" si="24"/>
        <v>0.92948549999999996</v>
      </c>
      <c r="M157" s="275">
        <v>20</v>
      </c>
    </row>
    <row r="158" spans="2:13" x14ac:dyDescent="0.25">
      <c r="B158" s="55" t="s">
        <v>131</v>
      </c>
      <c r="C158" s="41" t="s">
        <v>3</v>
      </c>
      <c r="D158" s="38" t="s">
        <v>132</v>
      </c>
      <c r="E158" s="23" t="s">
        <v>364</v>
      </c>
      <c r="F158" s="24" t="s">
        <v>355</v>
      </c>
      <c r="G158" s="41" t="s">
        <v>133</v>
      </c>
      <c r="H158" s="38">
        <v>201400</v>
      </c>
      <c r="I158" s="41" t="s">
        <v>262</v>
      </c>
      <c r="J158" s="361">
        <v>28.36</v>
      </c>
      <c r="K158" s="340">
        <v>27.914680000000001</v>
      </c>
      <c r="L158" s="335">
        <f t="shared" si="24"/>
        <v>0.9842976022566996</v>
      </c>
      <c r="M158" s="275">
        <f>3.6+27.4+1</f>
        <v>32</v>
      </c>
    </row>
    <row r="159" spans="2:13" x14ac:dyDescent="0.25">
      <c r="B159" s="55" t="s">
        <v>131</v>
      </c>
      <c r="C159" s="41" t="s">
        <v>3</v>
      </c>
      <c r="D159" s="38" t="s">
        <v>132</v>
      </c>
      <c r="E159" s="23" t="s">
        <v>364</v>
      </c>
      <c r="F159" s="24" t="s">
        <v>355</v>
      </c>
      <c r="G159" s="41" t="s">
        <v>133</v>
      </c>
      <c r="H159" s="38">
        <v>203001</v>
      </c>
      <c r="I159" s="41" t="s">
        <v>337</v>
      </c>
      <c r="J159" s="361">
        <v>25</v>
      </c>
      <c r="K159" s="340">
        <v>23.240649999999999</v>
      </c>
      <c r="L159" s="335">
        <f t="shared" si="24"/>
        <v>0.92962599999999995</v>
      </c>
      <c r="M159" s="275">
        <v>25</v>
      </c>
    </row>
    <row r="160" spans="2:13" x14ac:dyDescent="0.25">
      <c r="B160" s="55" t="s">
        <v>131</v>
      </c>
      <c r="C160" s="41" t="s">
        <v>3</v>
      </c>
      <c r="D160" s="38" t="s">
        <v>132</v>
      </c>
      <c r="E160" s="23" t="s">
        <v>364</v>
      </c>
      <c r="F160" s="24" t="s">
        <v>355</v>
      </c>
      <c r="G160" s="41" t="s">
        <v>133</v>
      </c>
      <c r="H160" s="38">
        <v>203003</v>
      </c>
      <c r="I160" s="41" t="s">
        <v>338</v>
      </c>
      <c r="J160" s="361">
        <v>120</v>
      </c>
      <c r="K160" s="340">
        <v>92.817229999999995</v>
      </c>
      <c r="L160" s="335">
        <f t="shared" si="24"/>
        <v>0.77347691666666663</v>
      </c>
      <c r="M160" s="112">
        <v>110</v>
      </c>
    </row>
    <row r="161" spans="2:13" x14ac:dyDescent="0.25">
      <c r="B161" s="55" t="s">
        <v>131</v>
      </c>
      <c r="C161" s="41" t="s">
        <v>3</v>
      </c>
      <c r="D161" s="38" t="s">
        <v>132</v>
      </c>
      <c r="E161" s="23" t="s">
        <v>364</v>
      </c>
      <c r="F161" s="24" t="s">
        <v>355</v>
      </c>
      <c r="G161" s="41" t="s">
        <v>133</v>
      </c>
      <c r="H161" s="38">
        <v>203004</v>
      </c>
      <c r="I161" s="41" t="s">
        <v>339</v>
      </c>
      <c r="J161" s="361">
        <v>320</v>
      </c>
      <c r="K161" s="340">
        <v>266.37283000000002</v>
      </c>
      <c r="L161" s="335">
        <f t="shared" si="24"/>
        <v>0.83241509375000011</v>
      </c>
      <c r="M161" s="275">
        <v>320</v>
      </c>
    </row>
    <row r="162" spans="2:13" ht="24" x14ac:dyDescent="0.25">
      <c r="B162" s="55" t="s">
        <v>131</v>
      </c>
      <c r="C162" s="41" t="s">
        <v>3</v>
      </c>
      <c r="D162" s="38" t="s">
        <v>132</v>
      </c>
      <c r="E162" s="23" t="s">
        <v>364</v>
      </c>
      <c r="F162" s="24" t="s">
        <v>355</v>
      </c>
      <c r="G162" s="41" t="s">
        <v>133</v>
      </c>
      <c r="H162" s="38">
        <v>203009</v>
      </c>
      <c r="I162" s="41" t="s">
        <v>340</v>
      </c>
      <c r="J162" s="361">
        <v>1058</v>
      </c>
      <c r="K162" s="337">
        <v>1039.50577</v>
      </c>
      <c r="L162" s="335">
        <f t="shared" si="24"/>
        <v>0.98251963137996223</v>
      </c>
      <c r="M162" s="275">
        <v>1200</v>
      </c>
    </row>
    <row r="163" spans="2:13" x14ac:dyDescent="0.25">
      <c r="B163" s="55" t="s">
        <v>131</v>
      </c>
      <c r="C163" s="41" t="s">
        <v>3</v>
      </c>
      <c r="D163" s="38" t="s">
        <v>132</v>
      </c>
      <c r="E163" s="23" t="s">
        <v>364</v>
      </c>
      <c r="F163" s="24" t="s">
        <v>355</v>
      </c>
      <c r="G163" s="41" t="s">
        <v>133</v>
      </c>
      <c r="H163" s="38">
        <v>203030</v>
      </c>
      <c r="I163" s="41" t="s">
        <v>254</v>
      </c>
      <c r="J163" s="361">
        <v>4299.2299999999996</v>
      </c>
      <c r="K163" s="337">
        <v>4157.0708400000003</v>
      </c>
      <c r="L163" s="335">
        <f t="shared" si="24"/>
        <v>0.96693380907743964</v>
      </c>
      <c r="M163" s="275">
        <v>4300</v>
      </c>
    </row>
    <row r="164" spans="2:13" x14ac:dyDescent="0.25">
      <c r="B164" s="55" t="s">
        <v>131</v>
      </c>
      <c r="C164" s="41" t="s">
        <v>3</v>
      </c>
      <c r="D164" s="38" t="s">
        <v>132</v>
      </c>
      <c r="E164" s="23" t="s">
        <v>364</v>
      </c>
      <c r="F164" s="24" t="s">
        <v>355</v>
      </c>
      <c r="G164" s="41" t="s">
        <v>133</v>
      </c>
      <c r="H164" s="82">
        <v>57</v>
      </c>
      <c r="I164" s="83" t="s">
        <v>345</v>
      </c>
      <c r="J164" s="361">
        <f>J165</f>
        <v>530</v>
      </c>
      <c r="K164" s="337">
        <f>K165</f>
        <v>530</v>
      </c>
      <c r="L164" s="335">
        <f t="shared" si="24"/>
        <v>1</v>
      </c>
      <c r="M164" s="275">
        <f>M165</f>
        <v>0</v>
      </c>
    </row>
    <row r="165" spans="2:13" x14ac:dyDescent="0.25">
      <c r="B165" s="55" t="s">
        <v>131</v>
      </c>
      <c r="C165" s="41" t="s">
        <v>3</v>
      </c>
      <c r="D165" s="38" t="s">
        <v>132</v>
      </c>
      <c r="E165" s="23" t="s">
        <v>364</v>
      </c>
      <c r="F165" s="24" t="s">
        <v>355</v>
      </c>
      <c r="G165" s="41" t="s">
        <v>133</v>
      </c>
      <c r="H165" s="38">
        <v>570201</v>
      </c>
      <c r="I165" s="41" t="s">
        <v>150</v>
      </c>
      <c r="J165" s="361">
        <v>530</v>
      </c>
      <c r="K165" s="340">
        <v>530</v>
      </c>
      <c r="L165" s="335">
        <f t="shared" si="24"/>
        <v>1</v>
      </c>
      <c r="M165" s="275">
        <v>0</v>
      </c>
    </row>
    <row r="166" spans="2:13" ht="60.75" x14ac:dyDescent="0.25">
      <c r="B166" s="55" t="s">
        <v>131</v>
      </c>
      <c r="C166" s="41" t="s">
        <v>3</v>
      </c>
      <c r="D166" s="38" t="s">
        <v>132</v>
      </c>
      <c r="E166" s="24" t="s">
        <v>362</v>
      </c>
      <c r="F166" s="24" t="s">
        <v>355</v>
      </c>
      <c r="G166" s="41" t="s">
        <v>133</v>
      </c>
      <c r="H166" s="82">
        <v>58</v>
      </c>
      <c r="I166" s="84" t="s">
        <v>344</v>
      </c>
      <c r="J166" s="361">
        <f>J167+J168</f>
        <v>178</v>
      </c>
      <c r="K166" s="340">
        <f t="shared" ref="K166" si="27">K167+K168</f>
        <v>2.9518</v>
      </c>
      <c r="L166" s="335">
        <f t="shared" si="24"/>
        <v>1.6583146067415729E-2</v>
      </c>
      <c r="M166" s="275">
        <f>M167+M168</f>
        <v>2</v>
      </c>
    </row>
    <row r="167" spans="2:13" x14ac:dyDescent="0.25">
      <c r="B167" s="55" t="s">
        <v>131</v>
      </c>
      <c r="C167" s="41" t="s">
        <v>3</v>
      </c>
      <c r="D167" s="38" t="s">
        <v>132</v>
      </c>
      <c r="E167" s="24" t="s">
        <v>362</v>
      </c>
      <c r="F167" s="24" t="s">
        <v>355</v>
      </c>
      <c r="G167" s="41" t="s">
        <v>133</v>
      </c>
      <c r="H167" s="38">
        <v>581501</v>
      </c>
      <c r="I167" s="41" t="s">
        <v>151</v>
      </c>
      <c r="J167" s="361">
        <v>9</v>
      </c>
      <c r="K167" s="340">
        <v>0</v>
      </c>
      <c r="L167" s="335">
        <f t="shared" si="24"/>
        <v>0</v>
      </c>
      <c r="M167" s="275">
        <v>0</v>
      </c>
    </row>
    <row r="168" spans="2:13" x14ac:dyDescent="0.25">
      <c r="B168" s="55" t="s">
        <v>131</v>
      </c>
      <c r="C168" s="41" t="s">
        <v>3</v>
      </c>
      <c r="D168" s="38" t="s">
        <v>132</v>
      </c>
      <c r="E168" s="24" t="s">
        <v>362</v>
      </c>
      <c r="F168" s="24" t="s">
        <v>355</v>
      </c>
      <c r="G168" s="41" t="s">
        <v>133</v>
      </c>
      <c r="H168" s="38">
        <v>581502</v>
      </c>
      <c r="I168" s="41" t="s">
        <v>152</v>
      </c>
      <c r="J168" s="361">
        <v>169</v>
      </c>
      <c r="K168" s="340">
        <v>2.9518</v>
      </c>
      <c r="L168" s="335">
        <f t="shared" si="24"/>
        <v>1.7466272189349111E-2</v>
      </c>
      <c r="M168" s="275">
        <v>2</v>
      </c>
    </row>
    <row r="169" spans="2:13" x14ac:dyDescent="0.25">
      <c r="B169" s="55" t="s">
        <v>131</v>
      </c>
      <c r="C169" s="41" t="s">
        <v>3</v>
      </c>
      <c r="D169" s="38" t="s">
        <v>461</v>
      </c>
      <c r="E169" s="24" t="s">
        <v>364</v>
      </c>
      <c r="F169" s="24" t="s">
        <v>355</v>
      </c>
      <c r="G169" s="41" t="s">
        <v>133</v>
      </c>
      <c r="H169" s="82">
        <v>59</v>
      </c>
      <c r="I169" s="83" t="s">
        <v>343</v>
      </c>
      <c r="J169" s="361">
        <f>J170+J171</f>
        <v>1358</v>
      </c>
      <c r="K169" s="337">
        <f>K170+K171</f>
        <v>1202.66876</v>
      </c>
      <c r="L169" s="335">
        <f t="shared" si="24"/>
        <v>0.88561764359351991</v>
      </c>
      <c r="M169" s="275">
        <f>M170+M171</f>
        <v>1181</v>
      </c>
    </row>
    <row r="170" spans="2:13" x14ac:dyDescent="0.25">
      <c r="B170" s="55" t="s">
        <v>131</v>
      </c>
      <c r="C170" s="41" t="s">
        <v>3</v>
      </c>
      <c r="D170" s="38" t="s">
        <v>132</v>
      </c>
      <c r="E170" s="24" t="s">
        <v>364</v>
      </c>
      <c r="F170" s="24" t="s">
        <v>355</v>
      </c>
      <c r="G170" s="41" t="s">
        <v>133</v>
      </c>
      <c r="H170" s="38">
        <v>591100</v>
      </c>
      <c r="I170" s="41" t="s">
        <v>153</v>
      </c>
      <c r="J170" s="361">
        <v>1000</v>
      </c>
      <c r="K170" s="340">
        <v>852.26175999999998</v>
      </c>
      <c r="L170" s="335">
        <f t="shared" si="24"/>
        <v>0.85226175999999998</v>
      </c>
      <c r="M170" s="275">
        <v>831</v>
      </c>
    </row>
    <row r="171" spans="2:13" ht="24" x14ac:dyDescent="0.25">
      <c r="B171" s="55" t="s">
        <v>131</v>
      </c>
      <c r="C171" s="41" t="s">
        <v>3</v>
      </c>
      <c r="D171" s="38" t="s">
        <v>132</v>
      </c>
      <c r="E171" s="24" t="s">
        <v>364</v>
      </c>
      <c r="F171" s="24" t="s">
        <v>355</v>
      </c>
      <c r="G171" s="41" t="s">
        <v>133</v>
      </c>
      <c r="H171" s="38" t="s">
        <v>154</v>
      </c>
      <c r="I171" s="41" t="s">
        <v>155</v>
      </c>
      <c r="J171" s="361">
        <v>358</v>
      </c>
      <c r="K171" s="340">
        <v>350.40699999999998</v>
      </c>
      <c r="L171" s="335">
        <f t="shared" si="24"/>
        <v>0.97879050279329605</v>
      </c>
      <c r="M171" s="275">
        <v>350</v>
      </c>
    </row>
    <row r="172" spans="2:13" x14ac:dyDescent="0.25">
      <c r="B172" s="55" t="s">
        <v>131</v>
      </c>
      <c r="C172" s="41" t="s">
        <v>3</v>
      </c>
      <c r="D172" s="38" t="s">
        <v>132</v>
      </c>
      <c r="E172" s="24" t="s">
        <v>362</v>
      </c>
      <c r="F172" s="24" t="s">
        <v>355</v>
      </c>
      <c r="G172" s="41" t="s">
        <v>133</v>
      </c>
      <c r="H172" s="82">
        <v>71</v>
      </c>
      <c r="I172" s="83" t="s">
        <v>342</v>
      </c>
      <c r="J172" s="361">
        <f>J173+J174</f>
        <v>524</v>
      </c>
      <c r="K172" s="344">
        <f t="shared" ref="K172" si="28">K173+K174</f>
        <v>153.88817</v>
      </c>
      <c r="L172" s="335">
        <f t="shared" si="24"/>
        <v>0.29367971374045804</v>
      </c>
      <c r="M172" s="275">
        <f>M173+M174</f>
        <v>2807.3</v>
      </c>
    </row>
    <row r="173" spans="2:13" ht="24" x14ac:dyDescent="0.25">
      <c r="B173" s="55" t="s">
        <v>131</v>
      </c>
      <c r="C173" s="41" t="s">
        <v>3</v>
      </c>
      <c r="D173" s="38" t="s">
        <v>132</v>
      </c>
      <c r="E173" s="24" t="s">
        <v>362</v>
      </c>
      <c r="F173" s="24" t="s">
        <v>355</v>
      </c>
      <c r="G173" s="41" t="s">
        <v>133</v>
      </c>
      <c r="H173" s="38" t="s">
        <v>156</v>
      </c>
      <c r="I173" s="41" t="s">
        <v>157</v>
      </c>
      <c r="J173" s="361">
        <v>274</v>
      </c>
      <c r="K173" s="340">
        <v>153.88817</v>
      </c>
      <c r="L173" s="335">
        <f t="shared" si="24"/>
        <v>0.56163565693430662</v>
      </c>
      <c r="M173" s="275">
        <v>450</v>
      </c>
    </row>
    <row r="174" spans="2:13" x14ac:dyDescent="0.25">
      <c r="B174" s="61" t="s">
        <v>131</v>
      </c>
      <c r="C174" s="41" t="s">
        <v>3</v>
      </c>
      <c r="D174" s="38" t="s">
        <v>132</v>
      </c>
      <c r="E174" s="24" t="s">
        <v>362</v>
      </c>
      <c r="F174" s="24" t="s">
        <v>355</v>
      </c>
      <c r="G174" s="41" t="s">
        <v>133</v>
      </c>
      <c r="H174" s="38" t="s">
        <v>158</v>
      </c>
      <c r="I174" s="41" t="s">
        <v>159</v>
      </c>
      <c r="J174" s="361">
        <v>250</v>
      </c>
      <c r="K174" s="340">
        <v>0</v>
      </c>
      <c r="L174" s="335">
        <f t="shared" si="24"/>
        <v>0</v>
      </c>
      <c r="M174" s="275">
        <v>2357.3000000000002</v>
      </c>
    </row>
    <row r="175" spans="2:13" ht="48.75" thickBot="1" x14ac:dyDescent="0.3">
      <c r="B175" s="61" t="s">
        <v>131</v>
      </c>
      <c r="C175" s="87" t="s">
        <v>3</v>
      </c>
      <c r="D175" s="39" t="s">
        <v>132</v>
      </c>
      <c r="E175" s="26" t="s">
        <v>364</v>
      </c>
      <c r="F175" s="26" t="s">
        <v>355</v>
      </c>
      <c r="G175" s="87" t="s">
        <v>133</v>
      </c>
      <c r="H175" s="58">
        <v>850101</v>
      </c>
      <c r="I175" s="155" t="s">
        <v>367</v>
      </c>
      <c r="J175" s="363">
        <v>-1414</v>
      </c>
      <c r="K175" s="364">
        <v>-1414.84301</v>
      </c>
      <c r="L175" s="335">
        <f t="shared" si="24"/>
        <v>1.0005961881188119</v>
      </c>
      <c r="M175" s="286"/>
    </row>
    <row r="176" spans="2:13" ht="16.5" thickBot="1" x14ac:dyDescent="0.3">
      <c r="B176" s="159" t="s">
        <v>131</v>
      </c>
      <c r="C176" s="159" t="s">
        <v>3</v>
      </c>
      <c r="D176" s="312"/>
      <c r="E176" s="244" t="s">
        <v>364</v>
      </c>
      <c r="F176" s="571" t="s">
        <v>476</v>
      </c>
      <c r="G176" s="571"/>
      <c r="H176" s="571"/>
      <c r="I176" s="571"/>
      <c r="J176" s="365">
        <f>J135+J144+J164+J175+J169</f>
        <v>69730.11</v>
      </c>
      <c r="K176" s="366">
        <f t="shared" ref="K176" si="29">K135+K144+K164+K175+K169</f>
        <v>64734.354420000003</v>
      </c>
      <c r="L176" s="367">
        <f>K176/J176</f>
        <v>0.92835583394318466</v>
      </c>
      <c r="M176" s="465">
        <f>M135+M144+M164+M175+M169</f>
        <v>65905.046000000002</v>
      </c>
    </row>
    <row r="177" spans="2:13" ht="16.5" thickBot="1" x14ac:dyDescent="0.3">
      <c r="B177" s="159" t="s">
        <v>131</v>
      </c>
      <c r="C177" s="159" t="s">
        <v>3</v>
      </c>
      <c r="D177" s="312"/>
      <c r="E177" s="244" t="s">
        <v>362</v>
      </c>
      <c r="F177" s="571" t="s">
        <v>477</v>
      </c>
      <c r="G177" s="571"/>
      <c r="H177" s="571"/>
      <c r="I177" s="571"/>
      <c r="J177" s="365">
        <f t="shared" ref="J177" si="30">J166+J172</f>
        <v>702</v>
      </c>
      <c r="K177" s="366">
        <f t="shared" ref="K177" si="31">K166+K172</f>
        <v>156.83996999999999</v>
      </c>
      <c r="L177" s="367">
        <f>K177/J177</f>
        <v>0.22341876068376068</v>
      </c>
      <c r="M177" s="465">
        <f t="shared" ref="M177" si="32">M166+M172</f>
        <v>2809.3</v>
      </c>
    </row>
    <row r="178" spans="2:13" ht="19.5" thickBot="1" x14ac:dyDescent="0.3">
      <c r="B178" s="605" t="s">
        <v>313</v>
      </c>
      <c r="C178" s="606"/>
      <c r="D178" s="606"/>
      <c r="E178" s="606"/>
      <c r="F178" s="606"/>
      <c r="G178" s="606"/>
      <c r="H178" s="606"/>
      <c r="I178" s="607"/>
      <c r="J178" s="368">
        <f t="shared" ref="J178" si="33">J172+J169+J166+J164+J144+J135+J175</f>
        <v>70432.11</v>
      </c>
      <c r="K178" s="368">
        <f t="shared" ref="K178" si="34">K172+K169+K166+K164+K144+K135+K175</f>
        <v>64891.194390000004</v>
      </c>
      <c r="L178" s="369">
        <f>K178/J178</f>
        <v>0.92132969451007507</v>
      </c>
      <c r="M178" s="285">
        <f>M176+M177</f>
        <v>68714.346000000005</v>
      </c>
    </row>
    <row r="179" spans="2:13" ht="24.75" hidden="1" thickBot="1" x14ac:dyDescent="0.3">
      <c r="B179" s="59" t="s">
        <v>131</v>
      </c>
      <c r="C179" s="94" t="s">
        <v>3</v>
      </c>
      <c r="D179" s="44">
        <v>540500</v>
      </c>
      <c r="E179" s="44" t="s">
        <v>364</v>
      </c>
      <c r="F179" s="44" t="s">
        <v>355</v>
      </c>
      <c r="G179" s="74" t="s">
        <v>160</v>
      </c>
      <c r="H179" s="44">
        <v>100112</v>
      </c>
      <c r="I179" s="185" t="s">
        <v>138</v>
      </c>
      <c r="J179" s="370">
        <v>0</v>
      </c>
      <c r="K179" s="11">
        <v>0</v>
      </c>
      <c r="L179" s="11"/>
      <c r="M179" s="280">
        <v>0</v>
      </c>
    </row>
    <row r="180" spans="2:13" ht="24.75" hidden="1" thickBot="1" x14ac:dyDescent="0.3">
      <c r="B180" s="59" t="s">
        <v>131</v>
      </c>
      <c r="C180" s="94" t="s">
        <v>3</v>
      </c>
      <c r="D180" s="44">
        <v>540500</v>
      </c>
      <c r="E180" s="44" t="s">
        <v>364</v>
      </c>
      <c r="F180" s="44" t="s">
        <v>355</v>
      </c>
      <c r="G180" s="74" t="s">
        <v>160</v>
      </c>
      <c r="H180" s="44">
        <v>200130</v>
      </c>
      <c r="I180" s="43" t="s">
        <v>179</v>
      </c>
      <c r="J180" s="370">
        <v>0</v>
      </c>
      <c r="K180" s="11">
        <v>0</v>
      </c>
      <c r="L180" s="11"/>
      <c r="M180" s="280">
        <v>0</v>
      </c>
    </row>
    <row r="181" spans="2:13" ht="24.75" thickBot="1" x14ac:dyDescent="0.3">
      <c r="B181" s="59" t="s">
        <v>131</v>
      </c>
      <c r="C181" s="94" t="s">
        <v>3</v>
      </c>
      <c r="D181" s="44">
        <v>540500</v>
      </c>
      <c r="E181" s="44" t="s">
        <v>364</v>
      </c>
      <c r="F181" s="44" t="s">
        <v>355</v>
      </c>
      <c r="G181" s="74" t="s">
        <v>160</v>
      </c>
      <c r="H181" s="44">
        <v>500400</v>
      </c>
      <c r="I181" s="120" t="s">
        <v>160</v>
      </c>
      <c r="J181" s="370">
        <v>0</v>
      </c>
      <c r="K181" s="371">
        <v>0</v>
      </c>
      <c r="L181" s="253">
        <v>0</v>
      </c>
      <c r="M181" s="280">
        <v>500</v>
      </c>
    </row>
    <row r="182" spans="2:13" ht="24.75" hidden="1" thickBot="1" x14ac:dyDescent="0.3">
      <c r="B182" s="59" t="s">
        <v>131</v>
      </c>
      <c r="C182" s="94" t="s">
        <v>3</v>
      </c>
      <c r="D182" s="44">
        <v>540500</v>
      </c>
      <c r="E182" s="44" t="s">
        <v>364</v>
      </c>
      <c r="F182" s="44" t="s">
        <v>355</v>
      </c>
      <c r="G182" s="74" t="s">
        <v>160</v>
      </c>
      <c r="H182" s="44">
        <v>570201</v>
      </c>
      <c r="I182" s="74" t="s">
        <v>150</v>
      </c>
      <c r="J182" s="370">
        <v>0</v>
      </c>
      <c r="K182" s="371">
        <v>0</v>
      </c>
      <c r="L182" s="253">
        <v>0</v>
      </c>
      <c r="M182" s="280">
        <v>0</v>
      </c>
    </row>
    <row r="183" spans="2:13" ht="15.75" thickBot="1" x14ac:dyDescent="0.3">
      <c r="B183" s="534" t="s">
        <v>161</v>
      </c>
      <c r="C183" s="535"/>
      <c r="D183" s="535"/>
      <c r="E183" s="535"/>
      <c r="F183" s="535"/>
      <c r="G183" s="535"/>
      <c r="H183" s="535"/>
      <c r="I183" s="536"/>
      <c r="J183" s="372">
        <f>SUM(J179:J182)</f>
        <v>0</v>
      </c>
      <c r="K183" s="372">
        <f t="shared" ref="K183" si="35">SUM(K179:K182)</f>
        <v>0</v>
      </c>
      <c r="L183" s="373">
        <v>0</v>
      </c>
      <c r="M183" s="284">
        <f>SUM(M179:M182)</f>
        <v>500</v>
      </c>
    </row>
    <row r="184" spans="2:13" ht="24" x14ac:dyDescent="0.25">
      <c r="B184" s="60" t="s">
        <v>131</v>
      </c>
      <c r="C184" s="40" t="s">
        <v>3</v>
      </c>
      <c r="D184" s="37" t="s">
        <v>162</v>
      </c>
      <c r="E184" s="34" t="s">
        <v>364</v>
      </c>
      <c r="F184" s="34" t="s">
        <v>355</v>
      </c>
      <c r="G184" s="40" t="s">
        <v>163</v>
      </c>
      <c r="H184" s="45">
        <v>510101</v>
      </c>
      <c r="I184" s="47" t="s">
        <v>493</v>
      </c>
      <c r="J184" s="360">
        <v>4975</v>
      </c>
      <c r="K184" s="374">
        <v>4947.1099100000001</v>
      </c>
      <c r="L184" s="375">
        <f>K184/J184</f>
        <v>0.99439395175879397</v>
      </c>
      <c r="M184" s="466">
        <v>5141.4399999999996</v>
      </c>
    </row>
    <row r="185" spans="2:13" ht="45.75" customHeight="1" thickBot="1" x14ac:dyDescent="0.3">
      <c r="B185" s="61" t="s">
        <v>131</v>
      </c>
      <c r="C185" s="42" t="s">
        <v>3</v>
      </c>
      <c r="D185" s="39" t="s">
        <v>162</v>
      </c>
      <c r="E185" s="25" t="s">
        <v>362</v>
      </c>
      <c r="F185" s="25" t="s">
        <v>355</v>
      </c>
      <c r="G185" s="42" t="s">
        <v>163</v>
      </c>
      <c r="H185" s="46">
        <v>510229</v>
      </c>
      <c r="I185" s="48" t="s">
        <v>494</v>
      </c>
      <c r="J185" s="376">
        <v>125</v>
      </c>
      <c r="K185" s="377">
        <v>121.9756</v>
      </c>
      <c r="L185" s="378">
        <f>K185/J185</f>
        <v>0.97580480000000003</v>
      </c>
      <c r="M185" s="467">
        <v>325</v>
      </c>
    </row>
    <row r="186" spans="2:13" ht="15.75" thickBot="1" x14ac:dyDescent="0.3">
      <c r="B186" s="548" t="s">
        <v>165</v>
      </c>
      <c r="C186" s="549"/>
      <c r="D186" s="549"/>
      <c r="E186" s="549"/>
      <c r="F186" s="549"/>
      <c r="G186" s="549"/>
      <c r="H186" s="549"/>
      <c r="I186" s="550"/>
      <c r="J186" s="372">
        <f>SUM(J184:J185)</f>
        <v>5100</v>
      </c>
      <c r="K186" s="372">
        <f>K184+K185</f>
        <v>5069.0855099999999</v>
      </c>
      <c r="L186" s="373">
        <f>K186/J186</f>
        <v>0.99393833529411757</v>
      </c>
      <c r="M186" s="284">
        <f>SUM(M184:M185)</f>
        <v>5466.44</v>
      </c>
    </row>
    <row r="187" spans="2:13" ht="36.75" thickBot="1" x14ac:dyDescent="0.3">
      <c r="B187" s="59" t="s">
        <v>131</v>
      </c>
      <c r="C187" s="94" t="s">
        <v>3</v>
      </c>
      <c r="D187" s="44">
        <v>545000</v>
      </c>
      <c r="E187" s="44" t="s">
        <v>364</v>
      </c>
      <c r="F187" s="44" t="s">
        <v>355</v>
      </c>
      <c r="G187" s="59" t="s">
        <v>166</v>
      </c>
      <c r="H187" s="44">
        <v>100112</v>
      </c>
      <c r="I187" s="188" t="s">
        <v>488</v>
      </c>
      <c r="J187" s="370">
        <v>0</v>
      </c>
      <c r="K187" s="370">
        <v>0</v>
      </c>
      <c r="L187" s="379">
        <v>0</v>
      </c>
      <c r="M187" s="280">
        <v>0</v>
      </c>
    </row>
    <row r="188" spans="2:13" ht="36.75" thickBot="1" x14ac:dyDescent="0.3">
      <c r="B188" s="59" t="s">
        <v>131</v>
      </c>
      <c r="C188" s="94" t="s">
        <v>3</v>
      </c>
      <c r="D188" s="44">
        <v>545000</v>
      </c>
      <c r="E188" s="44" t="s">
        <v>364</v>
      </c>
      <c r="F188" s="44" t="s">
        <v>355</v>
      </c>
      <c r="G188" s="59" t="s">
        <v>166</v>
      </c>
      <c r="H188" s="44">
        <v>200130</v>
      </c>
      <c r="I188" s="43" t="s">
        <v>492</v>
      </c>
      <c r="J188" s="370">
        <v>481.45</v>
      </c>
      <c r="K188" s="380">
        <v>467.89670999999998</v>
      </c>
      <c r="L188" s="379">
        <v>0.9718</v>
      </c>
      <c r="M188" s="280">
        <v>548</v>
      </c>
    </row>
    <row r="189" spans="2:13" ht="35.25" customHeight="1" thickBot="1" x14ac:dyDescent="0.3">
      <c r="B189" s="95" t="s">
        <v>131</v>
      </c>
      <c r="C189" s="59" t="s">
        <v>3</v>
      </c>
      <c r="D189" s="76">
        <v>545000</v>
      </c>
      <c r="E189" s="30" t="s">
        <v>364</v>
      </c>
      <c r="F189" s="30" t="s">
        <v>355</v>
      </c>
      <c r="G189" s="59" t="s">
        <v>166</v>
      </c>
      <c r="H189" s="190">
        <v>810205</v>
      </c>
      <c r="I189" s="50" t="s">
        <v>167</v>
      </c>
      <c r="J189" s="381">
        <v>26748.44</v>
      </c>
      <c r="K189" s="380">
        <v>26688.401000000002</v>
      </c>
      <c r="L189" s="379">
        <v>0.99780000000000002</v>
      </c>
      <c r="M189" s="280">
        <v>28926</v>
      </c>
    </row>
    <row r="190" spans="2:13" ht="15.75" thickBot="1" x14ac:dyDescent="0.3">
      <c r="B190" s="548" t="s">
        <v>168</v>
      </c>
      <c r="C190" s="549"/>
      <c r="D190" s="549"/>
      <c r="E190" s="549"/>
      <c r="F190" s="549"/>
      <c r="G190" s="549"/>
      <c r="H190" s="549"/>
      <c r="I190" s="551"/>
      <c r="J190" s="372">
        <f>SUM(J187:J189)</f>
        <v>27229.89</v>
      </c>
      <c r="K190" s="372">
        <f t="shared" ref="K190" si="36">SUM(K187:K189)</f>
        <v>27156.297710000003</v>
      </c>
      <c r="L190" s="373">
        <f t="shared" ref="L190:L199" si="37">K190/J190</f>
        <v>0.99729737101398508</v>
      </c>
      <c r="M190" s="284">
        <f>SUM(M187:M189)</f>
        <v>29474</v>
      </c>
    </row>
    <row r="191" spans="2:13" ht="16.5" thickBot="1" x14ac:dyDescent="0.3">
      <c r="B191" s="620"/>
      <c r="C191" s="621"/>
      <c r="D191" s="622"/>
      <c r="E191" s="160" t="s">
        <v>364</v>
      </c>
      <c r="F191" s="571" t="s">
        <v>474</v>
      </c>
      <c r="G191" s="571"/>
      <c r="H191" s="571"/>
      <c r="I191" s="571"/>
      <c r="J191" s="382">
        <f t="shared" ref="J191" si="38">J181+J184+J190</f>
        <v>32204.89</v>
      </c>
      <c r="K191" s="382">
        <f t="shared" ref="K191" si="39">K181+K184+K190</f>
        <v>32103.407620000002</v>
      </c>
      <c r="L191" s="383">
        <f t="shared" si="37"/>
        <v>0.99684885183585481</v>
      </c>
      <c r="M191" s="288">
        <f t="shared" ref="M191" si="40">M181+M184+M190</f>
        <v>35115.440000000002</v>
      </c>
    </row>
    <row r="192" spans="2:13" ht="16.5" thickBot="1" x14ac:dyDescent="0.3">
      <c r="B192" s="623"/>
      <c r="C192" s="624"/>
      <c r="D192" s="625"/>
      <c r="E192" s="160" t="s">
        <v>362</v>
      </c>
      <c r="F192" s="571" t="s">
        <v>475</v>
      </c>
      <c r="G192" s="571"/>
      <c r="H192" s="571"/>
      <c r="I192" s="571"/>
      <c r="J192" s="382">
        <f t="shared" ref="J192" si="41">J185</f>
        <v>125</v>
      </c>
      <c r="K192" s="382">
        <f t="shared" ref="K192" si="42">K185</f>
        <v>121.9756</v>
      </c>
      <c r="L192" s="383">
        <f t="shared" si="37"/>
        <v>0.97580480000000003</v>
      </c>
      <c r="M192" s="288">
        <f t="shared" ref="M192" si="43">M185</f>
        <v>325</v>
      </c>
    </row>
    <row r="193" spans="2:13" ht="21" thickBot="1" x14ac:dyDescent="0.3">
      <c r="B193" s="545" t="s">
        <v>314</v>
      </c>
      <c r="C193" s="546"/>
      <c r="D193" s="546"/>
      <c r="E193" s="546"/>
      <c r="F193" s="546"/>
      <c r="G193" s="546"/>
      <c r="H193" s="546"/>
      <c r="I193" s="547"/>
      <c r="J193" s="384">
        <f t="shared" ref="J193" si="44">J183+J186+J190</f>
        <v>32329.89</v>
      </c>
      <c r="K193" s="384">
        <f>K183+K186+K190</f>
        <v>32225.383220000003</v>
      </c>
      <c r="L193" s="385">
        <f t="shared" si="37"/>
        <v>0.99676748730045184</v>
      </c>
      <c r="M193" s="468">
        <f>M191+M192</f>
        <v>35440.44</v>
      </c>
    </row>
    <row r="194" spans="2:13" ht="24" x14ac:dyDescent="0.25">
      <c r="B194" s="60" t="s">
        <v>131</v>
      </c>
      <c r="C194" s="79" t="s">
        <v>3</v>
      </c>
      <c r="D194" s="37" t="s">
        <v>169</v>
      </c>
      <c r="E194" s="34" t="s">
        <v>364</v>
      </c>
      <c r="F194" s="34" t="s">
        <v>355</v>
      </c>
      <c r="G194" s="79" t="s">
        <v>170</v>
      </c>
      <c r="H194" s="45">
        <v>202402</v>
      </c>
      <c r="I194" s="77" t="s">
        <v>171</v>
      </c>
      <c r="J194" s="386">
        <v>10</v>
      </c>
      <c r="K194" s="374">
        <v>7.5</v>
      </c>
      <c r="L194" s="375">
        <f t="shared" si="37"/>
        <v>0.75</v>
      </c>
      <c r="M194" s="111">
        <v>10</v>
      </c>
    </row>
    <row r="195" spans="2:13" ht="24" x14ac:dyDescent="0.25">
      <c r="B195" s="89" t="s">
        <v>578</v>
      </c>
      <c r="C195" s="41" t="s">
        <v>3</v>
      </c>
      <c r="D195" s="38" t="s">
        <v>169</v>
      </c>
      <c r="E195" s="24" t="s">
        <v>364</v>
      </c>
      <c r="F195" s="24" t="s">
        <v>355</v>
      </c>
      <c r="G195" s="41" t="s">
        <v>170</v>
      </c>
      <c r="H195" s="292" t="s">
        <v>558</v>
      </c>
      <c r="I195" s="135" t="s">
        <v>560</v>
      </c>
      <c r="J195" s="387"/>
      <c r="K195" s="388"/>
      <c r="L195" s="375"/>
      <c r="M195" s="469">
        <v>10281.040000000001</v>
      </c>
    </row>
    <row r="196" spans="2:13" ht="24.75" thickBot="1" x14ac:dyDescent="0.3">
      <c r="B196" s="61" t="s">
        <v>131</v>
      </c>
      <c r="C196" s="80" t="s">
        <v>3</v>
      </c>
      <c r="D196" s="58" t="s">
        <v>169</v>
      </c>
      <c r="E196" s="99" t="s">
        <v>364</v>
      </c>
      <c r="F196" s="99" t="s">
        <v>355</v>
      </c>
      <c r="G196" s="80" t="s">
        <v>170</v>
      </c>
      <c r="H196" s="290" t="s">
        <v>559</v>
      </c>
      <c r="I196" s="291" t="s">
        <v>172</v>
      </c>
      <c r="J196" s="376">
        <v>10749.06</v>
      </c>
      <c r="K196" s="377">
        <v>10708.89</v>
      </c>
      <c r="L196" s="375">
        <f t="shared" si="37"/>
        <v>0.99626292903751579</v>
      </c>
      <c r="M196" s="470"/>
    </row>
    <row r="197" spans="2:13" s="78" customFormat="1" ht="45" customHeight="1" thickBot="1" x14ac:dyDescent="0.35">
      <c r="B197" s="602" t="s">
        <v>315</v>
      </c>
      <c r="C197" s="603"/>
      <c r="D197" s="603"/>
      <c r="E197" s="603"/>
      <c r="F197" s="603"/>
      <c r="G197" s="603"/>
      <c r="H197" s="603"/>
      <c r="I197" s="604"/>
      <c r="J197" s="368">
        <f>SUM(J194:J196)</f>
        <v>10759.06</v>
      </c>
      <c r="K197" s="368">
        <f t="shared" ref="K197" si="45">SUM(K194:K196)</f>
        <v>10716.39</v>
      </c>
      <c r="L197" s="369">
        <f t="shared" si="37"/>
        <v>0.99603404014848884</v>
      </c>
      <c r="M197" s="285">
        <f>SUM(M194:M196)</f>
        <v>10291.040000000001</v>
      </c>
    </row>
    <row r="198" spans="2:13" s="213" customFormat="1" ht="36" x14ac:dyDescent="0.2">
      <c r="B198" s="60" t="s">
        <v>131</v>
      </c>
      <c r="C198" s="79" t="s">
        <v>3</v>
      </c>
      <c r="D198" s="38" t="s">
        <v>173</v>
      </c>
      <c r="E198" s="23" t="s">
        <v>364</v>
      </c>
      <c r="F198" s="23" t="s">
        <v>363</v>
      </c>
      <c r="G198" s="60" t="s">
        <v>174</v>
      </c>
      <c r="H198" s="256"/>
      <c r="I198" s="257" t="s">
        <v>601</v>
      </c>
      <c r="J198" s="147">
        <f>24518.33+1152.43</f>
        <v>25670.760000000002</v>
      </c>
      <c r="K198" s="389">
        <f>23777.11+1029.84</f>
        <v>24806.95</v>
      </c>
      <c r="L198" s="390">
        <f t="shared" si="37"/>
        <v>0.96635043138574783</v>
      </c>
      <c r="M198" s="287">
        <f>24778+563+0</f>
        <v>25341</v>
      </c>
    </row>
    <row r="199" spans="2:13" hidden="1" x14ac:dyDescent="0.25">
      <c r="B199" s="60" t="s">
        <v>131</v>
      </c>
      <c r="C199" s="79" t="s">
        <v>3</v>
      </c>
      <c r="D199" s="38" t="s">
        <v>173</v>
      </c>
      <c r="E199" s="23" t="s">
        <v>364</v>
      </c>
      <c r="F199" s="23" t="s">
        <v>363</v>
      </c>
      <c r="G199" s="60" t="s">
        <v>174</v>
      </c>
      <c r="H199" s="23" t="s">
        <v>134</v>
      </c>
      <c r="I199" s="62" t="s">
        <v>135</v>
      </c>
      <c r="J199" s="391"/>
      <c r="K199" s="392"/>
      <c r="L199" s="393" t="e">
        <f t="shared" si="37"/>
        <v>#DIV/0!</v>
      </c>
      <c r="M199" s="281"/>
    </row>
    <row r="200" spans="2:13" hidden="1" x14ac:dyDescent="0.25">
      <c r="B200" s="55" t="s">
        <v>131</v>
      </c>
      <c r="C200" s="41" t="s">
        <v>3</v>
      </c>
      <c r="D200" s="38" t="s">
        <v>173</v>
      </c>
      <c r="E200" s="24" t="s">
        <v>364</v>
      </c>
      <c r="F200" s="24" t="s">
        <v>363</v>
      </c>
      <c r="G200" s="55" t="s">
        <v>174</v>
      </c>
      <c r="H200" s="24">
        <v>100106</v>
      </c>
      <c r="I200" s="63" t="s">
        <v>136</v>
      </c>
      <c r="J200" s="342"/>
      <c r="K200" s="394"/>
      <c r="L200" s="393" t="e">
        <f t="shared" ref="L200:L223" si="46">K200/J200</f>
        <v>#DIV/0!</v>
      </c>
      <c r="M200" s="110"/>
    </row>
    <row r="201" spans="2:13" hidden="1" x14ac:dyDescent="0.25">
      <c r="B201" s="55" t="s">
        <v>131</v>
      </c>
      <c r="C201" s="41" t="s">
        <v>3</v>
      </c>
      <c r="D201" s="38" t="s">
        <v>173</v>
      </c>
      <c r="E201" s="24" t="s">
        <v>364</v>
      </c>
      <c r="F201" s="24" t="s">
        <v>363</v>
      </c>
      <c r="G201" s="55" t="s">
        <v>174</v>
      </c>
      <c r="H201" s="24">
        <v>100113</v>
      </c>
      <c r="I201" s="63" t="s">
        <v>140</v>
      </c>
      <c r="J201" s="342"/>
      <c r="K201" s="394"/>
      <c r="L201" s="393" t="e">
        <f t="shared" si="46"/>
        <v>#DIV/0!</v>
      </c>
      <c r="M201" s="110"/>
    </row>
    <row r="202" spans="2:13" ht="24" hidden="1" x14ac:dyDescent="0.25">
      <c r="B202" s="55" t="s">
        <v>131</v>
      </c>
      <c r="C202" s="41" t="s">
        <v>3</v>
      </c>
      <c r="D202" s="38" t="s">
        <v>173</v>
      </c>
      <c r="E202" s="24" t="s">
        <v>364</v>
      </c>
      <c r="F202" s="24" t="s">
        <v>363</v>
      </c>
      <c r="G202" s="55" t="s">
        <v>174</v>
      </c>
      <c r="H202" s="24" t="s">
        <v>143</v>
      </c>
      <c r="I202" s="63" t="s">
        <v>550</v>
      </c>
      <c r="J202" s="342"/>
      <c r="K202" s="394"/>
      <c r="L202" s="393" t="e">
        <f t="shared" si="46"/>
        <v>#DIV/0!</v>
      </c>
      <c r="M202" s="110"/>
    </row>
    <row r="203" spans="2:13" ht="15" hidden="1" customHeight="1" x14ac:dyDescent="0.25">
      <c r="B203" s="55" t="s">
        <v>131</v>
      </c>
      <c r="C203" s="41" t="s">
        <v>3</v>
      </c>
      <c r="D203" s="38" t="s">
        <v>173</v>
      </c>
      <c r="E203" s="24" t="s">
        <v>364</v>
      </c>
      <c r="F203" s="24" t="s">
        <v>363</v>
      </c>
      <c r="G203" s="55" t="s">
        <v>174</v>
      </c>
      <c r="H203" s="24" t="s">
        <v>175</v>
      </c>
      <c r="I203" s="63" t="s">
        <v>176</v>
      </c>
      <c r="J203" s="342"/>
      <c r="K203" s="394"/>
      <c r="L203" s="393" t="e">
        <f t="shared" si="46"/>
        <v>#DIV/0!</v>
      </c>
      <c r="M203" s="110"/>
    </row>
    <row r="204" spans="2:13" hidden="1" x14ac:dyDescent="0.25">
      <c r="B204" s="55" t="s">
        <v>131</v>
      </c>
      <c r="C204" s="41" t="s">
        <v>3</v>
      </c>
      <c r="D204" s="38" t="s">
        <v>173</v>
      </c>
      <c r="E204" s="24" t="s">
        <v>364</v>
      </c>
      <c r="F204" s="24" t="s">
        <v>363</v>
      </c>
      <c r="G204" s="55" t="s">
        <v>174</v>
      </c>
      <c r="H204" s="24" t="s">
        <v>145</v>
      </c>
      <c r="I204" s="63" t="s">
        <v>146</v>
      </c>
      <c r="J204" s="342"/>
      <c r="K204" s="394"/>
      <c r="L204" s="393" t="e">
        <f t="shared" si="46"/>
        <v>#DIV/0!</v>
      </c>
      <c r="M204" s="110"/>
    </row>
    <row r="205" spans="2:13" ht="24" hidden="1" x14ac:dyDescent="0.25">
      <c r="B205" s="55" t="s">
        <v>131</v>
      </c>
      <c r="C205" s="41" t="s">
        <v>3</v>
      </c>
      <c r="D205" s="38" t="s">
        <v>173</v>
      </c>
      <c r="E205" s="24" t="s">
        <v>364</v>
      </c>
      <c r="F205" s="24" t="s">
        <v>363</v>
      </c>
      <c r="G205" s="55" t="s">
        <v>174</v>
      </c>
      <c r="H205" s="24" t="s">
        <v>147</v>
      </c>
      <c r="I205" s="63" t="s">
        <v>148</v>
      </c>
      <c r="J205" s="342"/>
      <c r="K205" s="394"/>
      <c r="L205" s="393" t="e">
        <f t="shared" si="46"/>
        <v>#DIV/0!</v>
      </c>
      <c r="M205" s="110"/>
    </row>
    <row r="206" spans="2:13" hidden="1" x14ac:dyDescent="0.25">
      <c r="B206" s="55" t="s">
        <v>131</v>
      </c>
      <c r="C206" s="41" t="s">
        <v>3</v>
      </c>
      <c r="D206" s="38" t="s">
        <v>173</v>
      </c>
      <c r="E206" s="24" t="s">
        <v>364</v>
      </c>
      <c r="F206" s="24" t="s">
        <v>363</v>
      </c>
      <c r="G206" s="55" t="s">
        <v>174</v>
      </c>
      <c r="H206" s="85">
        <v>20</v>
      </c>
      <c r="I206" s="107" t="s">
        <v>149</v>
      </c>
      <c r="J206" s="342">
        <f>SUM(J207:J223)</f>
        <v>0</v>
      </c>
      <c r="K206" s="395"/>
      <c r="L206" s="393" t="e">
        <f t="shared" si="46"/>
        <v>#DIV/0!</v>
      </c>
      <c r="M206" s="112"/>
    </row>
    <row r="207" spans="2:13" hidden="1" x14ac:dyDescent="0.25">
      <c r="B207" s="55" t="s">
        <v>131</v>
      </c>
      <c r="C207" s="41" t="s">
        <v>3</v>
      </c>
      <c r="D207" s="38" t="s">
        <v>173</v>
      </c>
      <c r="E207" s="24" t="s">
        <v>364</v>
      </c>
      <c r="F207" s="24" t="s">
        <v>363</v>
      </c>
      <c r="G207" s="55" t="s">
        <v>174</v>
      </c>
      <c r="H207" s="24">
        <v>200101</v>
      </c>
      <c r="I207" s="258" t="s">
        <v>327</v>
      </c>
      <c r="J207" s="341"/>
      <c r="K207" s="394"/>
      <c r="L207" s="393" t="e">
        <f t="shared" si="46"/>
        <v>#DIV/0!</v>
      </c>
      <c r="M207" s="110"/>
    </row>
    <row r="208" spans="2:13" hidden="1" x14ac:dyDescent="0.25">
      <c r="B208" s="55" t="s">
        <v>131</v>
      </c>
      <c r="C208" s="41" t="s">
        <v>3</v>
      </c>
      <c r="D208" s="38" t="s">
        <v>173</v>
      </c>
      <c r="E208" s="24" t="s">
        <v>364</v>
      </c>
      <c r="F208" s="24" t="s">
        <v>363</v>
      </c>
      <c r="G208" s="55" t="s">
        <v>174</v>
      </c>
      <c r="H208" s="24">
        <v>200102</v>
      </c>
      <c r="I208" s="259" t="s">
        <v>346</v>
      </c>
      <c r="J208" s="396"/>
      <c r="K208" s="397"/>
      <c r="L208" s="393" t="e">
        <f>K208/J208</f>
        <v>#DIV/0!</v>
      </c>
      <c r="M208" s="110"/>
    </row>
    <row r="209" spans="2:13" hidden="1" x14ac:dyDescent="0.25">
      <c r="B209" s="55" t="s">
        <v>131</v>
      </c>
      <c r="C209" s="41" t="s">
        <v>3</v>
      </c>
      <c r="D209" s="38" t="s">
        <v>173</v>
      </c>
      <c r="E209" s="24" t="s">
        <v>364</v>
      </c>
      <c r="F209" s="24" t="s">
        <v>363</v>
      </c>
      <c r="G209" s="55" t="s">
        <v>174</v>
      </c>
      <c r="H209" s="24">
        <v>200103</v>
      </c>
      <c r="I209" s="252" t="s">
        <v>347</v>
      </c>
      <c r="J209" s="341"/>
      <c r="K209" s="394"/>
      <c r="L209" s="393" t="e">
        <f t="shared" si="46"/>
        <v>#DIV/0!</v>
      </c>
      <c r="M209" s="110"/>
    </row>
    <row r="210" spans="2:13" hidden="1" x14ac:dyDescent="0.25">
      <c r="B210" s="55" t="s">
        <v>131</v>
      </c>
      <c r="C210" s="41" t="s">
        <v>3</v>
      </c>
      <c r="D210" s="38" t="s">
        <v>173</v>
      </c>
      <c r="E210" s="24" t="s">
        <v>364</v>
      </c>
      <c r="F210" s="24" t="s">
        <v>363</v>
      </c>
      <c r="G210" s="55" t="s">
        <v>174</v>
      </c>
      <c r="H210" s="24">
        <v>200104</v>
      </c>
      <c r="I210" s="63" t="s">
        <v>330</v>
      </c>
      <c r="J210" s="341"/>
      <c r="K210" s="394"/>
      <c r="L210" s="393" t="e">
        <f t="shared" si="46"/>
        <v>#DIV/0!</v>
      </c>
      <c r="M210" s="110"/>
    </row>
    <row r="211" spans="2:13" ht="24" hidden="1" x14ac:dyDescent="0.25">
      <c r="B211" s="55" t="s">
        <v>131</v>
      </c>
      <c r="C211" s="41" t="s">
        <v>3</v>
      </c>
      <c r="D211" s="38" t="s">
        <v>173</v>
      </c>
      <c r="E211" s="24" t="s">
        <v>364</v>
      </c>
      <c r="F211" s="24" t="s">
        <v>363</v>
      </c>
      <c r="G211" s="55" t="s">
        <v>174</v>
      </c>
      <c r="H211" s="24">
        <v>200105</v>
      </c>
      <c r="I211" s="63" t="s">
        <v>331</v>
      </c>
      <c r="J211" s="341"/>
      <c r="K211" s="394"/>
      <c r="L211" s="393" t="e">
        <f t="shared" si="46"/>
        <v>#DIV/0!</v>
      </c>
      <c r="M211" s="110"/>
    </row>
    <row r="212" spans="2:13" hidden="1" x14ac:dyDescent="0.25">
      <c r="B212" s="55" t="s">
        <v>131</v>
      </c>
      <c r="C212" s="41" t="s">
        <v>3</v>
      </c>
      <c r="D212" s="38" t="s">
        <v>173</v>
      </c>
      <c r="E212" s="24" t="s">
        <v>364</v>
      </c>
      <c r="F212" s="24" t="s">
        <v>363</v>
      </c>
      <c r="G212" s="55" t="s">
        <v>174</v>
      </c>
      <c r="H212" s="24">
        <v>200106</v>
      </c>
      <c r="I212" s="63" t="s">
        <v>424</v>
      </c>
      <c r="J212" s="341"/>
      <c r="K212" s="394"/>
      <c r="L212" s="393" t="e">
        <f t="shared" si="46"/>
        <v>#DIV/0!</v>
      </c>
      <c r="M212" s="110"/>
    </row>
    <row r="213" spans="2:13" hidden="1" x14ac:dyDescent="0.25">
      <c r="B213" s="55" t="s">
        <v>131</v>
      </c>
      <c r="C213" s="41" t="s">
        <v>3</v>
      </c>
      <c r="D213" s="38" t="s">
        <v>173</v>
      </c>
      <c r="E213" s="24" t="s">
        <v>364</v>
      </c>
      <c r="F213" s="24" t="s">
        <v>363</v>
      </c>
      <c r="G213" s="55" t="s">
        <v>174</v>
      </c>
      <c r="H213" s="24">
        <v>200108</v>
      </c>
      <c r="I213" s="63" t="s">
        <v>261</v>
      </c>
      <c r="J213" s="341"/>
      <c r="K213" s="394"/>
      <c r="L213" s="393" t="e">
        <f t="shared" si="46"/>
        <v>#DIV/0!</v>
      </c>
      <c r="M213" s="110"/>
    </row>
    <row r="214" spans="2:13" ht="24" hidden="1" x14ac:dyDescent="0.25">
      <c r="B214" s="55" t="s">
        <v>131</v>
      </c>
      <c r="C214" s="41" t="s">
        <v>3</v>
      </c>
      <c r="D214" s="38" t="s">
        <v>173</v>
      </c>
      <c r="E214" s="24" t="s">
        <v>364</v>
      </c>
      <c r="F214" s="24" t="s">
        <v>363</v>
      </c>
      <c r="G214" s="55" t="s">
        <v>174</v>
      </c>
      <c r="H214" s="24">
        <v>200109</v>
      </c>
      <c r="I214" s="63" t="s">
        <v>554</v>
      </c>
      <c r="J214" s="341"/>
      <c r="K214" s="394"/>
      <c r="L214" s="393" t="e">
        <f t="shared" si="46"/>
        <v>#DIV/0!</v>
      </c>
      <c r="M214" s="110"/>
    </row>
    <row r="215" spans="2:13" ht="24" hidden="1" x14ac:dyDescent="0.25">
      <c r="B215" s="55" t="s">
        <v>131</v>
      </c>
      <c r="C215" s="41" t="s">
        <v>3</v>
      </c>
      <c r="D215" s="38" t="s">
        <v>173</v>
      </c>
      <c r="E215" s="24" t="s">
        <v>364</v>
      </c>
      <c r="F215" s="24" t="s">
        <v>363</v>
      </c>
      <c r="G215" s="55" t="s">
        <v>174</v>
      </c>
      <c r="H215" s="24">
        <v>200130</v>
      </c>
      <c r="I215" s="63" t="s">
        <v>555</v>
      </c>
      <c r="J215" s="341"/>
      <c r="K215" s="394"/>
      <c r="L215" s="393" t="e">
        <f t="shared" si="46"/>
        <v>#DIV/0!</v>
      </c>
      <c r="M215" s="110"/>
    </row>
    <row r="216" spans="2:13" ht="18.75" hidden="1" x14ac:dyDescent="0.25">
      <c r="B216" s="55" t="s">
        <v>131</v>
      </c>
      <c r="C216" s="41" t="s">
        <v>3</v>
      </c>
      <c r="D216" s="38" t="s">
        <v>173</v>
      </c>
      <c r="E216" s="24" t="s">
        <v>364</v>
      </c>
      <c r="F216" s="24" t="s">
        <v>363</v>
      </c>
      <c r="G216" s="55" t="s">
        <v>174</v>
      </c>
      <c r="H216" s="24">
        <v>200501</v>
      </c>
      <c r="I216" s="63" t="s">
        <v>440</v>
      </c>
      <c r="J216" s="341"/>
      <c r="K216" s="394"/>
      <c r="L216" s="393" t="e">
        <f t="shared" si="46"/>
        <v>#DIV/0!</v>
      </c>
      <c r="M216" s="323"/>
    </row>
    <row r="217" spans="2:13" hidden="1" x14ac:dyDescent="0.25">
      <c r="B217" s="55" t="s">
        <v>131</v>
      </c>
      <c r="C217" s="41" t="s">
        <v>3</v>
      </c>
      <c r="D217" s="38" t="s">
        <v>173</v>
      </c>
      <c r="E217" s="24" t="s">
        <v>364</v>
      </c>
      <c r="F217" s="24" t="s">
        <v>363</v>
      </c>
      <c r="G217" s="55" t="s">
        <v>174</v>
      </c>
      <c r="H217" s="24">
        <v>200530</v>
      </c>
      <c r="I217" s="63" t="s">
        <v>350</v>
      </c>
      <c r="J217" s="341"/>
      <c r="K217" s="394"/>
      <c r="L217" s="393" t="e">
        <f t="shared" si="46"/>
        <v>#DIV/0!</v>
      </c>
      <c r="M217" s="110"/>
    </row>
    <row r="218" spans="2:13" ht="24" hidden="1" x14ac:dyDescent="0.25">
      <c r="B218" s="55" t="s">
        <v>131</v>
      </c>
      <c r="C218" s="41" t="s">
        <v>3</v>
      </c>
      <c r="D218" s="38" t="s">
        <v>173</v>
      </c>
      <c r="E218" s="24" t="s">
        <v>364</v>
      </c>
      <c r="F218" s="24" t="s">
        <v>363</v>
      </c>
      <c r="G218" s="55" t="s">
        <v>174</v>
      </c>
      <c r="H218" s="24">
        <v>200601</v>
      </c>
      <c r="I218" s="63" t="s">
        <v>333</v>
      </c>
      <c r="J218" s="341"/>
      <c r="K218" s="394"/>
      <c r="L218" s="393"/>
      <c r="M218" s="324"/>
    </row>
    <row r="219" spans="2:13" ht="15.75" hidden="1" x14ac:dyDescent="0.25">
      <c r="B219" s="55" t="s">
        <v>131</v>
      </c>
      <c r="C219" s="41" t="s">
        <v>3</v>
      </c>
      <c r="D219" s="38" t="s">
        <v>173</v>
      </c>
      <c r="E219" s="24" t="s">
        <v>364</v>
      </c>
      <c r="F219" s="24" t="s">
        <v>363</v>
      </c>
      <c r="G219" s="55" t="s">
        <v>174</v>
      </c>
      <c r="H219" s="24">
        <v>201200</v>
      </c>
      <c r="I219" s="63" t="s">
        <v>336</v>
      </c>
      <c r="J219" s="341"/>
      <c r="K219" s="394"/>
      <c r="L219" s="393"/>
      <c r="M219" s="324"/>
    </row>
    <row r="220" spans="2:13" hidden="1" x14ac:dyDescent="0.25">
      <c r="B220" s="55" t="s">
        <v>131</v>
      </c>
      <c r="C220" s="41" t="s">
        <v>3</v>
      </c>
      <c r="D220" s="38" t="s">
        <v>173</v>
      </c>
      <c r="E220" s="24" t="s">
        <v>364</v>
      </c>
      <c r="F220" s="24" t="s">
        <v>363</v>
      </c>
      <c r="G220" s="55" t="s">
        <v>174</v>
      </c>
      <c r="H220" s="24">
        <v>201300</v>
      </c>
      <c r="I220" s="63" t="s">
        <v>556</v>
      </c>
      <c r="J220" s="341"/>
      <c r="K220" s="394"/>
      <c r="L220" s="393" t="e">
        <f t="shared" si="46"/>
        <v>#DIV/0!</v>
      </c>
      <c r="M220" s="325"/>
    </row>
    <row r="221" spans="2:13" hidden="1" x14ac:dyDescent="0.25">
      <c r="B221" s="55" t="s">
        <v>131</v>
      </c>
      <c r="C221" s="41" t="s">
        <v>3</v>
      </c>
      <c r="D221" s="38" t="s">
        <v>173</v>
      </c>
      <c r="E221" s="24" t="s">
        <v>364</v>
      </c>
      <c r="F221" s="24" t="s">
        <v>363</v>
      </c>
      <c r="G221" s="55" t="s">
        <v>174</v>
      </c>
      <c r="H221" s="24">
        <v>201400</v>
      </c>
      <c r="I221" s="63" t="s">
        <v>262</v>
      </c>
      <c r="J221" s="341"/>
      <c r="K221" s="394"/>
      <c r="L221" s="393" t="e">
        <f t="shared" si="46"/>
        <v>#DIV/0!</v>
      </c>
      <c r="M221" s="110"/>
    </row>
    <row r="222" spans="2:13" hidden="1" x14ac:dyDescent="0.25">
      <c r="B222" s="55" t="s">
        <v>131</v>
      </c>
      <c r="C222" s="41" t="s">
        <v>3</v>
      </c>
      <c r="D222" s="38" t="s">
        <v>173</v>
      </c>
      <c r="E222" s="24" t="s">
        <v>364</v>
      </c>
      <c r="F222" s="24" t="s">
        <v>363</v>
      </c>
      <c r="G222" s="55" t="s">
        <v>174</v>
      </c>
      <c r="H222" s="24">
        <v>203002</v>
      </c>
      <c r="I222" s="63" t="s">
        <v>557</v>
      </c>
      <c r="J222" s="341"/>
      <c r="K222" s="394"/>
      <c r="L222" s="393" t="e">
        <f t="shared" si="46"/>
        <v>#DIV/0!</v>
      </c>
      <c r="M222" s="110"/>
    </row>
    <row r="223" spans="2:13" hidden="1" x14ac:dyDescent="0.25">
      <c r="B223" s="55" t="s">
        <v>131</v>
      </c>
      <c r="C223" s="41" t="s">
        <v>3</v>
      </c>
      <c r="D223" s="38" t="s">
        <v>173</v>
      </c>
      <c r="E223" s="24" t="s">
        <v>364</v>
      </c>
      <c r="F223" s="24" t="s">
        <v>363</v>
      </c>
      <c r="G223" s="55" t="s">
        <v>174</v>
      </c>
      <c r="H223" s="24">
        <v>203030</v>
      </c>
      <c r="I223" s="63" t="s">
        <v>338</v>
      </c>
      <c r="J223" s="341"/>
      <c r="K223" s="394"/>
      <c r="L223" s="393" t="e">
        <f t="shared" si="46"/>
        <v>#DIV/0!</v>
      </c>
      <c r="M223" s="471"/>
    </row>
    <row r="224" spans="2:13" ht="36.75" thickBot="1" x14ac:dyDescent="0.3">
      <c r="B224" s="55" t="s">
        <v>131</v>
      </c>
      <c r="C224" s="41" t="s">
        <v>3</v>
      </c>
      <c r="D224" s="38" t="s">
        <v>173</v>
      </c>
      <c r="E224" s="24" t="s">
        <v>364</v>
      </c>
      <c r="F224" s="24" t="s">
        <v>363</v>
      </c>
      <c r="G224" s="55" t="s">
        <v>174</v>
      </c>
      <c r="H224" s="85">
        <v>71</v>
      </c>
      <c r="I224" s="107" t="s">
        <v>602</v>
      </c>
      <c r="J224" s="342">
        <f>SUM(J225:J225)</f>
        <v>42</v>
      </c>
      <c r="K224" s="342">
        <f>SUM(K225:K225)</f>
        <v>6.8151299999999999</v>
      </c>
      <c r="L224" s="398">
        <f t="shared" ref="L224:L229" si="47">K224/J224</f>
        <v>0.16226499999999999</v>
      </c>
      <c r="M224" s="112">
        <f>SUM(M225:M225)</f>
        <v>85</v>
      </c>
    </row>
    <row r="225" spans="2:13" ht="15" hidden="1" customHeight="1" thickBot="1" x14ac:dyDescent="0.3">
      <c r="B225" s="61" t="s">
        <v>131</v>
      </c>
      <c r="C225" s="42" t="s">
        <v>3</v>
      </c>
      <c r="D225" s="39" t="s">
        <v>173</v>
      </c>
      <c r="E225" s="25" t="s">
        <v>362</v>
      </c>
      <c r="F225" s="24" t="s">
        <v>363</v>
      </c>
      <c r="G225" s="56" t="s">
        <v>174</v>
      </c>
      <c r="H225" s="25" t="s">
        <v>158</v>
      </c>
      <c r="I225" s="91" t="s">
        <v>159</v>
      </c>
      <c r="J225" s="399">
        <v>42</v>
      </c>
      <c r="K225" s="400">
        <v>6.8151299999999999</v>
      </c>
      <c r="L225" s="401">
        <f t="shared" si="47"/>
        <v>0.16226499999999999</v>
      </c>
      <c r="M225" s="279">
        <v>85</v>
      </c>
    </row>
    <row r="226" spans="2:13" ht="15.75" thickBot="1" x14ac:dyDescent="0.3">
      <c r="B226" s="548" t="s">
        <v>316</v>
      </c>
      <c r="C226" s="549"/>
      <c r="D226" s="549"/>
      <c r="E226" s="549"/>
      <c r="F226" s="549"/>
      <c r="G226" s="549"/>
      <c r="H226" s="549"/>
      <c r="I226" s="551"/>
      <c r="J226" s="372">
        <f>J198+J224</f>
        <v>25712.760000000002</v>
      </c>
      <c r="K226" s="372">
        <f>K198+K224</f>
        <v>24813.76513</v>
      </c>
      <c r="L226" s="373">
        <f t="shared" si="47"/>
        <v>0.96503701391838126</v>
      </c>
      <c r="M226" s="284">
        <f>M198+M224</f>
        <v>25426</v>
      </c>
    </row>
    <row r="227" spans="2:13" ht="24" x14ac:dyDescent="0.25">
      <c r="B227" s="60" t="s">
        <v>131</v>
      </c>
      <c r="C227" s="40" t="s">
        <v>3</v>
      </c>
      <c r="D227" s="37" t="s">
        <v>177</v>
      </c>
      <c r="E227" s="34" t="s">
        <v>364</v>
      </c>
      <c r="F227" s="34" t="s">
        <v>355</v>
      </c>
      <c r="G227" s="40" t="s">
        <v>178</v>
      </c>
      <c r="H227" s="45">
        <v>200130</v>
      </c>
      <c r="I227" s="40" t="s">
        <v>179</v>
      </c>
      <c r="J227" s="360">
        <v>165</v>
      </c>
      <c r="K227" s="402">
        <v>134.76362</v>
      </c>
      <c r="L227" s="390">
        <f t="shared" si="47"/>
        <v>0.8167492121212121</v>
      </c>
      <c r="M227" s="287">
        <v>155</v>
      </c>
    </row>
    <row r="228" spans="2:13" ht="24.75" thickBot="1" x14ac:dyDescent="0.3">
      <c r="B228" s="61" t="s">
        <v>131</v>
      </c>
      <c r="C228" s="42" t="s">
        <v>3</v>
      </c>
      <c r="D228" s="39" t="s">
        <v>177</v>
      </c>
      <c r="E228" s="25" t="s">
        <v>362</v>
      </c>
      <c r="F228" s="25" t="s">
        <v>355</v>
      </c>
      <c r="G228" s="42" t="s">
        <v>178</v>
      </c>
      <c r="H228" s="46">
        <v>710130</v>
      </c>
      <c r="I228" s="42" t="s">
        <v>159</v>
      </c>
      <c r="J228" s="376">
        <v>110</v>
      </c>
      <c r="K228" s="403">
        <v>0</v>
      </c>
      <c r="L228" s="378">
        <f t="shared" si="47"/>
        <v>0</v>
      </c>
      <c r="M228" s="277">
        <v>250</v>
      </c>
    </row>
    <row r="229" spans="2:13" ht="15.75" thickBot="1" x14ac:dyDescent="0.3">
      <c r="B229" s="548" t="s">
        <v>180</v>
      </c>
      <c r="C229" s="549"/>
      <c r="D229" s="549"/>
      <c r="E229" s="549"/>
      <c r="F229" s="549"/>
      <c r="G229" s="549"/>
      <c r="H229" s="549"/>
      <c r="I229" s="551"/>
      <c r="J229" s="372">
        <f>SUM(J227:J228)</f>
        <v>275</v>
      </c>
      <c r="K229" s="372">
        <f t="shared" ref="K229" si="48">SUM(K227:K228)</f>
        <v>134.76362</v>
      </c>
      <c r="L229" s="373">
        <f t="shared" si="47"/>
        <v>0.49004952727272727</v>
      </c>
      <c r="M229" s="284">
        <f t="shared" ref="M229" si="49">SUM(M227:M228)</f>
        <v>405</v>
      </c>
    </row>
    <row r="230" spans="2:13" ht="24.75" thickBot="1" x14ac:dyDescent="0.3">
      <c r="B230" s="89" t="s">
        <v>131</v>
      </c>
      <c r="C230" s="59" t="s">
        <v>3</v>
      </c>
      <c r="D230" s="30" t="s">
        <v>181</v>
      </c>
      <c r="E230" s="30" t="s">
        <v>364</v>
      </c>
      <c r="F230" s="30" t="s">
        <v>355</v>
      </c>
      <c r="G230" s="90" t="s">
        <v>182</v>
      </c>
      <c r="H230" s="52" t="s">
        <v>183</v>
      </c>
      <c r="I230" s="51" t="s">
        <v>184</v>
      </c>
      <c r="J230" s="404">
        <v>0</v>
      </c>
      <c r="K230" s="388">
        <v>0</v>
      </c>
      <c r="L230" s="405">
        <v>0</v>
      </c>
      <c r="M230" s="264">
        <v>0</v>
      </c>
    </row>
    <row r="231" spans="2:13" ht="15.75" thickBot="1" x14ac:dyDescent="0.3">
      <c r="B231" s="548" t="s">
        <v>312</v>
      </c>
      <c r="C231" s="549"/>
      <c r="D231" s="549"/>
      <c r="E231" s="549"/>
      <c r="F231" s="549"/>
      <c r="G231" s="549"/>
      <c r="H231" s="549"/>
      <c r="I231" s="551"/>
      <c r="J231" s="372">
        <f t="shared" ref="J231" si="50">SUM(J230:J230)</f>
        <v>0</v>
      </c>
      <c r="K231" s="372">
        <f t="shared" ref="K231" si="51">SUM(K230:K230)</f>
        <v>0</v>
      </c>
      <c r="L231" s="373">
        <v>0</v>
      </c>
      <c r="M231" s="284">
        <f t="shared" ref="M231" si="52">SUM(M230:M230)</f>
        <v>0</v>
      </c>
    </row>
    <row r="232" spans="2:13" ht="24.75" thickBot="1" x14ac:dyDescent="0.3">
      <c r="B232" s="59" t="s">
        <v>131</v>
      </c>
      <c r="C232" s="59" t="s">
        <v>3</v>
      </c>
      <c r="D232" s="540">
        <v>61</v>
      </c>
      <c r="E232" s="144" t="s">
        <v>364</v>
      </c>
      <c r="F232" s="19"/>
      <c r="G232" s="629" t="s">
        <v>455</v>
      </c>
      <c r="H232" s="22">
        <v>10</v>
      </c>
      <c r="I232" s="202" t="s">
        <v>450</v>
      </c>
      <c r="J232" s="613">
        <f>J198</f>
        <v>25670.760000000002</v>
      </c>
      <c r="K232" s="613">
        <f>K198</f>
        <v>24806.95</v>
      </c>
      <c r="L232" s="615">
        <f t="shared" ref="L232:L239" si="53">K232/J232</f>
        <v>0.96635043138574783</v>
      </c>
      <c r="M232" s="583">
        <f>M198</f>
        <v>25341</v>
      </c>
    </row>
    <row r="233" spans="2:13" ht="24.75" thickBot="1" x14ac:dyDescent="0.3">
      <c r="B233" s="59" t="s">
        <v>131</v>
      </c>
      <c r="C233" s="59" t="s">
        <v>3</v>
      </c>
      <c r="D233" s="541"/>
      <c r="E233" s="144" t="s">
        <v>364</v>
      </c>
      <c r="F233" s="19"/>
      <c r="G233" s="630"/>
      <c r="H233" s="22">
        <v>20</v>
      </c>
      <c r="I233" s="203" t="s">
        <v>451</v>
      </c>
      <c r="J233" s="614"/>
      <c r="K233" s="614"/>
      <c r="L233" s="616"/>
      <c r="M233" s="585"/>
    </row>
    <row r="234" spans="2:13" ht="15.75" thickBot="1" x14ac:dyDescent="0.3">
      <c r="B234" s="59" t="s">
        <v>131</v>
      </c>
      <c r="C234" s="59" t="s">
        <v>3</v>
      </c>
      <c r="D234" s="541"/>
      <c r="E234" s="144" t="s">
        <v>364</v>
      </c>
      <c r="F234" s="19"/>
      <c r="G234" s="630"/>
      <c r="H234" s="22">
        <v>20</v>
      </c>
      <c r="I234" s="203" t="s">
        <v>452</v>
      </c>
      <c r="J234" s="370">
        <f>J227+J230</f>
        <v>165</v>
      </c>
      <c r="K234" s="370">
        <f t="shared" ref="K234" si="54">K227+K230</f>
        <v>134.76362</v>
      </c>
      <c r="L234" s="379">
        <f t="shared" si="53"/>
        <v>0.8167492121212121</v>
      </c>
      <c r="M234" s="280">
        <f>M227+M230</f>
        <v>155</v>
      </c>
    </row>
    <row r="235" spans="2:13" ht="24" customHeight="1" thickBot="1" x14ac:dyDescent="0.3">
      <c r="B235" s="59" t="s">
        <v>131</v>
      </c>
      <c r="C235" s="59" t="s">
        <v>3</v>
      </c>
      <c r="D235" s="541"/>
      <c r="E235" s="144" t="s">
        <v>362</v>
      </c>
      <c r="F235" s="19"/>
      <c r="G235" s="630"/>
      <c r="H235" s="22">
        <v>71</v>
      </c>
      <c r="I235" s="204" t="s">
        <v>453</v>
      </c>
      <c r="J235" s="370">
        <f>J224</f>
        <v>42</v>
      </c>
      <c r="K235" s="370">
        <f>K224</f>
        <v>6.8151299999999999</v>
      </c>
      <c r="L235" s="379">
        <f t="shared" si="53"/>
        <v>0.16226499999999999</v>
      </c>
      <c r="M235" s="280">
        <f>M224</f>
        <v>85</v>
      </c>
    </row>
    <row r="236" spans="2:13" ht="22.5" customHeight="1" thickBot="1" x14ac:dyDescent="0.3">
      <c r="B236" s="59" t="s">
        <v>131</v>
      </c>
      <c r="C236" s="59" t="s">
        <v>3</v>
      </c>
      <c r="D236" s="541"/>
      <c r="E236" s="144" t="s">
        <v>362</v>
      </c>
      <c r="F236" s="19"/>
      <c r="G236" s="631"/>
      <c r="H236" s="22">
        <v>71</v>
      </c>
      <c r="I236" s="203" t="s">
        <v>454</v>
      </c>
      <c r="J236" s="370">
        <f>J228</f>
        <v>110</v>
      </c>
      <c r="K236" s="370">
        <f t="shared" ref="K236" si="55">K228</f>
        <v>0</v>
      </c>
      <c r="L236" s="379">
        <f t="shared" si="53"/>
        <v>0</v>
      </c>
      <c r="M236" s="280">
        <f>M228</f>
        <v>250</v>
      </c>
    </row>
    <row r="237" spans="2:13" ht="16.5" thickBot="1" x14ac:dyDescent="0.3">
      <c r="B237" s="59" t="s">
        <v>131</v>
      </c>
      <c r="C237" s="59" t="s">
        <v>3</v>
      </c>
      <c r="D237" s="541"/>
      <c r="E237" s="161" t="s">
        <v>364</v>
      </c>
      <c r="F237" s="571" t="s">
        <v>484</v>
      </c>
      <c r="G237" s="571"/>
      <c r="H237" s="571"/>
      <c r="I237" s="571"/>
      <c r="J237" s="382">
        <f>J232+J233+J234</f>
        <v>25835.760000000002</v>
      </c>
      <c r="K237" s="382">
        <f t="shared" ref="K237" si="56">K232+K233+K234</f>
        <v>24941.713620000002</v>
      </c>
      <c r="L237" s="383">
        <f t="shared" si="53"/>
        <v>0.96539500366933273</v>
      </c>
      <c r="M237" s="288">
        <f>M232+M233+M234</f>
        <v>25496</v>
      </c>
    </row>
    <row r="238" spans="2:13" ht="16.5" thickBot="1" x14ac:dyDescent="0.3">
      <c r="B238" s="59" t="s">
        <v>131</v>
      </c>
      <c r="C238" s="59" t="s">
        <v>3</v>
      </c>
      <c r="D238" s="542"/>
      <c r="E238" s="161" t="s">
        <v>362</v>
      </c>
      <c r="F238" s="571" t="s">
        <v>485</v>
      </c>
      <c r="G238" s="571"/>
      <c r="H238" s="571"/>
      <c r="I238" s="571"/>
      <c r="J238" s="382">
        <f>J235+J236</f>
        <v>152</v>
      </c>
      <c r="K238" s="382">
        <f t="shared" ref="K238" si="57">K235+K236</f>
        <v>6.8151299999999999</v>
      </c>
      <c r="L238" s="383">
        <f t="shared" si="53"/>
        <v>4.4836381578947371E-2</v>
      </c>
      <c r="M238" s="288">
        <f>M235+M236</f>
        <v>335</v>
      </c>
    </row>
    <row r="239" spans="2:13" ht="19.5" thickBot="1" x14ac:dyDescent="0.3">
      <c r="B239" s="545" t="s">
        <v>317</v>
      </c>
      <c r="C239" s="546"/>
      <c r="D239" s="546"/>
      <c r="E239" s="546"/>
      <c r="F239" s="546"/>
      <c r="G239" s="546"/>
      <c r="H239" s="546"/>
      <c r="I239" s="547"/>
      <c r="J239" s="368">
        <f>J232+J233+J234+J235+J236</f>
        <v>25987.760000000002</v>
      </c>
      <c r="K239" s="368">
        <f t="shared" ref="K239" si="58">K232+K233+K234+K235+K236</f>
        <v>24948.528750000001</v>
      </c>
      <c r="L239" s="369">
        <f t="shared" si="53"/>
        <v>0.96001074159527411</v>
      </c>
      <c r="M239" s="285">
        <f>M237+M238</f>
        <v>25831</v>
      </c>
    </row>
    <row r="240" spans="2:13" ht="24" x14ac:dyDescent="0.25">
      <c r="B240" s="92" t="s">
        <v>131</v>
      </c>
      <c r="C240" s="40" t="s">
        <v>3</v>
      </c>
      <c r="D240" s="57" t="s">
        <v>185</v>
      </c>
      <c r="E240" s="34" t="s">
        <v>364</v>
      </c>
      <c r="F240" s="198" t="s">
        <v>355</v>
      </c>
      <c r="G240" s="40" t="s">
        <v>186</v>
      </c>
      <c r="H240" s="75">
        <v>100115</v>
      </c>
      <c r="I240" s="116" t="s">
        <v>187</v>
      </c>
      <c r="J240" s="407">
        <v>137.80000000000001</v>
      </c>
      <c r="K240" s="402"/>
      <c r="L240" s="390">
        <f t="shared" ref="L240:L255" si="59">K240/J240</f>
        <v>0</v>
      </c>
      <c r="M240" s="276">
        <v>125</v>
      </c>
    </row>
    <row r="241" spans="2:13" ht="24" x14ac:dyDescent="0.25">
      <c r="B241" s="55" t="s">
        <v>131</v>
      </c>
      <c r="C241" s="41" t="s">
        <v>3</v>
      </c>
      <c r="D241" s="38" t="s">
        <v>185</v>
      </c>
      <c r="E241" s="24" t="s">
        <v>364</v>
      </c>
      <c r="F241" s="199" t="s">
        <v>355</v>
      </c>
      <c r="G241" s="41" t="s">
        <v>186</v>
      </c>
      <c r="H241" s="82">
        <v>20</v>
      </c>
      <c r="I241" s="83" t="s">
        <v>375</v>
      </c>
      <c r="J241" s="361">
        <f>J242+J243</f>
        <v>5512.9</v>
      </c>
      <c r="K241" s="362">
        <f t="shared" ref="K241" si="60">K242+K243</f>
        <v>1423.16428</v>
      </c>
      <c r="L241" s="408">
        <f t="shared" si="59"/>
        <v>0.258151658836547</v>
      </c>
      <c r="M241" s="275">
        <f>M242+M243</f>
        <v>4392</v>
      </c>
    </row>
    <row r="242" spans="2:13" ht="32.25" customHeight="1" x14ac:dyDescent="0.25">
      <c r="B242" s="55" t="s">
        <v>131</v>
      </c>
      <c r="C242" s="41" t="s">
        <v>3</v>
      </c>
      <c r="D242" s="38" t="s">
        <v>185</v>
      </c>
      <c r="E242" s="24" t="s">
        <v>364</v>
      </c>
      <c r="F242" s="199" t="s">
        <v>355</v>
      </c>
      <c r="G242" s="41" t="s">
        <v>186</v>
      </c>
      <c r="H242" s="38">
        <v>200200</v>
      </c>
      <c r="I242" s="83" t="s">
        <v>390</v>
      </c>
      <c r="J242" s="361">
        <v>1622</v>
      </c>
      <c r="K242" s="409">
        <v>1423.16428</v>
      </c>
      <c r="L242" s="408">
        <f t="shared" si="59"/>
        <v>0.87741324290998768</v>
      </c>
      <c r="M242" s="112">
        <v>1500</v>
      </c>
    </row>
    <row r="243" spans="2:13" ht="24" x14ac:dyDescent="0.25">
      <c r="B243" s="55" t="s">
        <v>131</v>
      </c>
      <c r="C243" s="41" t="s">
        <v>3</v>
      </c>
      <c r="D243" s="38" t="s">
        <v>185</v>
      </c>
      <c r="E243" s="24" t="s">
        <v>364</v>
      </c>
      <c r="F243" s="199" t="s">
        <v>355</v>
      </c>
      <c r="G243" s="41" t="s">
        <v>186</v>
      </c>
      <c r="H243" s="38"/>
      <c r="I243" s="41" t="s">
        <v>391</v>
      </c>
      <c r="J243" s="361">
        <v>3890.9</v>
      </c>
      <c r="K243" s="409"/>
      <c r="L243" s="408">
        <f t="shared" si="59"/>
        <v>0</v>
      </c>
      <c r="M243" s="275">
        <v>2892</v>
      </c>
    </row>
    <row r="244" spans="2:13" ht="51.75" customHeight="1" x14ac:dyDescent="0.25">
      <c r="B244" s="55" t="s">
        <v>131</v>
      </c>
      <c r="C244" s="41" t="s">
        <v>3</v>
      </c>
      <c r="D244" s="38" t="s">
        <v>185</v>
      </c>
      <c r="E244" s="24" t="s">
        <v>364</v>
      </c>
      <c r="F244" s="199" t="s">
        <v>355</v>
      </c>
      <c r="G244" s="41" t="s">
        <v>186</v>
      </c>
      <c r="H244" s="38" t="s">
        <v>188</v>
      </c>
      <c r="I244" s="41" t="s">
        <v>189</v>
      </c>
      <c r="J244" s="361">
        <v>5583.9</v>
      </c>
      <c r="K244" s="409">
        <v>5576.8970300000001</v>
      </c>
      <c r="L244" s="408">
        <f t="shared" si="59"/>
        <v>0.9987458640018626</v>
      </c>
      <c r="M244" s="275">
        <v>5723</v>
      </c>
    </row>
    <row r="245" spans="2:13" x14ac:dyDescent="0.25">
      <c r="B245" s="55" t="s">
        <v>131</v>
      </c>
      <c r="C245" s="41" t="s">
        <v>3</v>
      </c>
      <c r="D245" s="38" t="s">
        <v>185</v>
      </c>
      <c r="E245" s="24" t="s">
        <v>364</v>
      </c>
      <c r="F245" s="199" t="s">
        <v>355</v>
      </c>
      <c r="G245" s="41" t="s">
        <v>186</v>
      </c>
      <c r="H245" s="38" t="s">
        <v>190</v>
      </c>
      <c r="I245" s="41" t="s">
        <v>150</v>
      </c>
      <c r="J245" s="361">
        <v>317.45</v>
      </c>
      <c r="K245" s="409"/>
      <c r="L245" s="408">
        <f t="shared" si="59"/>
        <v>0</v>
      </c>
      <c r="M245" s="275">
        <f>309</f>
        <v>309</v>
      </c>
    </row>
    <row r="246" spans="2:13" x14ac:dyDescent="0.25">
      <c r="B246" s="55" t="s">
        <v>131</v>
      </c>
      <c r="C246" s="41" t="s">
        <v>3</v>
      </c>
      <c r="D246" s="38" t="s">
        <v>185</v>
      </c>
      <c r="E246" s="24" t="s">
        <v>362</v>
      </c>
      <c r="F246" s="199" t="s">
        <v>355</v>
      </c>
      <c r="G246" s="41" t="s">
        <v>186</v>
      </c>
      <c r="H246" s="38" t="s">
        <v>192</v>
      </c>
      <c r="I246" s="41" t="s">
        <v>151</v>
      </c>
      <c r="J246" s="361">
        <v>1</v>
      </c>
      <c r="K246" s="409">
        <v>0.73841999999999997</v>
      </c>
      <c r="L246" s="408">
        <f t="shared" si="59"/>
        <v>0.73841999999999997</v>
      </c>
      <c r="M246" s="275"/>
    </row>
    <row r="247" spans="2:13" x14ac:dyDescent="0.25">
      <c r="B247" s="55" t="s">
        <v>131</v>
      </c>
      <c r="C247" s="41" t="s">
        <v>3</v>
      </c>
      <c r="D247" s="38" t="s">
        <v>185</v>
      </c>
      <c r="E247" s="24" t="s">
        <v>362</v>
      </c>
      <c r="F247" s="199" t="s">
        <v>355</v>
      </c>
      <c r="G247" s="41" t="s">
        <v>186</v>
      </c>
      <c r="H247" s="38" t="s">
        <v>193</v>
      </c>
      <c r="I247" s="41" t="s">
        <v>152</v>
      </c>
      <c r="J247" s="361">
        <v>0</v>
      </c>
      <c r="K247" s="409">
        <v>0</v>
      </c>
      <c r="L247" s="408"/>
      <c r="M247" s="275"/>
    </row>
    <row r="248" spans="2:13" x14ac:dyDescent="0.25">
      <c r="B248" s="55" t="s">
        <v>131</v>
      </c>
      <c r="C248" s="41" t="s">
        <v>3</v>
      </c>
      <c r="D248" s="38" t="s">
        <v>185</v>
      </c>
      <c r="E248" s="24" t="s">
        <v>362</v>
      </c>
      <c r="F248" s="199" t="s">
        <v>355</v>
      </c>
      <c r="G248" s="41" t="s">
        <v>186</v>
      </c>
      <c r="H248" s="38" t="s">
        <v>194</v>
      </c>
      <c r="I248" s="41" t="s">
        <v>195</v>
      </c>
      <c r="J248" s="361">
        <v>791</v>
      </c>
      <c r="K248" s="409">
        <v>480.58249000000001</v>
      </c>
      <c r="L248" s="408">
        <f t="shared" si="59"/>
        <v>0.60756319848293305</v>
      </c>
      <c r="M248" s="275"/>
    </row>
    <row r="249" spans="2:13" x14ac:dyDescent="0.25">
      <c r="B249" s="55" t="s">
        <v>131</v>
      </c>
      <c r="C249" s="41" t="s">
        <v>3</v>
      </c>
      <c r="D249" s="38" t="s">
        <v>185</v>
      </c>
      <c r="E249" s="24" t="s">
        <v>362</v>
      </c>
      <c r="F249" s="199" t="s">
        <v>355</v>
      </c>
      <c r="G249" s="41" t="s">
        <v>186</v>
      </c>
      <c r="H249" s="38">
        <v>600100</v>
      </c>
      <c r="I249" s="41" t="s">
        <v>103</v>
      </c>
      <c r="J249" s="361">
        <v>8641</v>
      </c>
      <c r="K249" s="409">
        <v>8056.9319800000003</v>
      </c>
      <c r="L249" s="408">
        <f t="shared" si="59"/>
        <v>0.93240735794468232</v>
      </c>
      <c r="M249" s="275"/>
    </row>
    <row r="250" spans="2:13" x14ac:dyDescent="0.25">
      <c r="B250" s="55" t="s">
        <v>131</v>
      </c>
      <c r="C250" s="41" t="s">
        <v>3</v>
      </c>
      <c r="D250" s="38" t="s">
        <v>185</v>
      </c>
      <c r="E250" s="24" t="s">
        <v>362</v>
      </c>
      <c r="F250" s="199" t="s">
        <v>355</v>
      </c>
      <c r="G250" s="41" t="s">
        <v>186</v>
      </c>
      <c r="H250" s="38">
        <v>600300</v>
      </c>
      <c r="I250" s="41" t="s">
        <v>107</v>
      </c>
      <c r="J250" s="361">
        <v>1642</v>
      </c>
      <c r="K250" s="409">
        <v>1521.68487</v>
      </c>
      <c r="L250" s="408">
        <f t="shared" si="59"/>
        <v>0.9267264738124239</v>
      </c>
      <c r="M250" s="275"/>
    </row>
    <row r="251" spans="2:13" x14ac:dyDescent="0.25">
      <c r="B251" s="55" t="s">
        <v>131</v>
      </c>
      <c r="C251" s="41" t="s">
        <v>3</v>
      </c>
      <c r="D251" s="38" t="s">
        <v>185</v>
      </c>
      <c r="E251" s="24" t="s">
        <v>362</v>
      </c>
      <c r="F251" s="199" t="s">
        <v>355</v>
      </c>
      <c r="G251" s="41" t="s">
        <v>186</v>
      </c>
      <c r="H251" s="82">
        <v>71</v>
      </c>
      <c r="I251" s="83" t="s">
        <v>356</v>
      </c>
      <c r="J251" s="361">
        <f>J252+J255+J254</f>
        <v>1723</v>
      </c>
      <c r="K251" s="362">
        <f t="shared" ref="K251" si="61">K252+K255+K254</f>
        <v>479.48683999999997</v>
      </c>
      <c r="L251" s="408">
        <f t="shared" si="59"/>
        <v>0.27828603598374924</v>
      </c>
      <c r="M251" s="275">
        <f>M252+M255+M254+M253</f>
        <v>1936</v>
      </c>
    </row>
    <row r="252" spans="2:13" x14ac:dyDescent="0.25">
      <c r="B252" s="55" t="s">
        <v>131</v>
      </c>
      <c r="C252" s="41" t="s">
        <v>3</v>
      </c>
      <c r="D252" s="38" t="s">
        <v>185</v>
      </c>
      <c r="E252" s="26" t="s">
        <v>362</v>
      </c>
      <c r="F252" s="200" t="s">
        <v>355</v>
      </c>
      <c r="G252" s="41" t="s">
        <v>186</v>
      </c>
      <c r="H252" s="39">
        <v>710130</v>
      </c>
      <c r="I252" s="137" t="s">
        <v>369</v>
      </c>
      <c r="J252" s="410">
        <v>1595</v>
      </c>
      <c r="K252" s="377">
        <v>479.48683999999997</v>
      </c>
      <c r="L252" s="408">
        <f t="shared" si="59"/>
        <v>0.30061870846394984</v>
      </c>
      <c r="M252" s="278">
        <v>1701</v>
      </c>
    </row>
    <row r="253" spans="2:13" ht="24" x14ac:dyDescent="0.25">
      <c r="B253" s="55" t="s">
        <v>131</v>
      </c>
      <c r="C253" s="41" t="s">
        <v>3</v>
      </c>
      <c r="D253" s="38" t="s">
        <v>185</v>
      </c>
      <c r="E253" s="26" t="s">
        <v>362</v>
      </c>
      <c r="F253" s="200" t="s">
        <v>355</v>
      </c>
      <c r="G253" s="41" t="s">
        <v>186</v>
      </c>
      <c r="H253" s="39">
        <v>710130</v>
      </c>
      <c r="I253" s="83" t="s">
        <v>579</v>
      </c>
      <c r="J253" s="410"/>
      <c r="K253" s="377"/>
      <c r="L253" s="408"/>
      <c r="M253" s="278">
        <v>235</v>
      </c>
    </row>
    <row r="254" spans="2:13" x14ac:dyDescent="0.25">
      <c r="B254" s="55" t="s">
        <v>131</v>
      </c>
      <c r="C254" s="41" t="s">
        <v>3</v>
      </c>
      <c r="D254" s="38" t="s">
        <v>185</v>
      </c>
      <c r="E254" s="26" t="s">
        <v>362</v>
      </c>
      <c r="F254" s="200" t="s">
        <v>363</v>
      </c>
      <c r="G254" s="41" t="s">
        <v>186</v>
      </c>
      <c r="H254" s="38">
        <v>710102</v>
      </c>
      <c r="I254" s="41" t="s">
        <v>392</v>
      </c>
      <c r="J254" s="410">
        <v>20</v>
      </c>
      <c r="K254" s="377"/>
      <c r="L254" s="408">
        <f t="shared" si="59"/>
        <v>0</v>
      </c>
      <c r="M254" s="278"/>
    </row>
    <row r="255" spans="2:13" x14ac:dyDescent="0.25">
      <c r="B255" s="13" t="s">
        <v>131</v>
      </c>
      <c r="C255" s="21" t="s">
        <v>3</v>
      </c>
      <c r="D255" s="38" t="s">
        <v>185</v>
      </c>
      <c r="E255" s="24" t="s">
        <v>362</v>
      </c>
      <c r="F255" s="199" t="s">
        <v>363</v>
      </c>
      <c r="G255" s="21" t="s">
        <v>186</v>
      </c>
      <c r="H255" s="38" t="s">
        <v>196</v>
      </c>
      <c r="I255" s="41" t="s">
        <v>357</v>
      </c>
      <c r="J255" s="411">
        <v>108</v>
      </c>
      <c r="K255" s="409"/>
      <c r="L255" s="408">
        <f t="shared" si="59"/>
        <v>0</v>
      </c>
      <c r="M255" s="269"/>
    </row>
    <row r="256" spans="2:13" ht="48.75" thickBot="1" x14ac:dyDescent="0.3">
      <c r="B256" s="186" t="s">
        <v>131</v>
      </c>
      <c r="C256" s="80" t="s">
        <v>3</v>
      </c>
      <c r="D256" s="101">
        <v>650301</v>
      </c>
      <c r="E256" s="99" t="s">
        <v>364</v>
      </c>
      <c r="F256" s="101" t="s">
        <v>363</v>
      </c>
      <c r="G256" s="80" t="s">
        <v>186</v>
      </c>
      <c r="H256" s="58">
        <v>850101</v>
      </c>
      <c r="I256" s="117" t="s">
        <v>374</v>
      </c>
      <c r="J256" s="412">
        <v>0</v>
      </c>
      <c r="K256" s="413">
        <f>-586.8/1000</f>
        <v>-0.58679999999999999</v>
      </c>
      <c r="L256" s="408">
        <v>0</v>
      </c>
      <c r="M256" s="472">
        <v>0</v>
      </c>
    </row>
    <row r="257" spans="2:13" ht="15" customHeight="1" thickBot="1" x14ac:dyDescent="0.3">
      <c r="B257" s="548" t="s">
        <v>326</v>
      </c>
      <c r="C257" s="549"/>
      <c r="D257" s="549"/>
      <c r="E257" s="549"/>
      <c r="F257" s="549"/>
      <c r="G257" s="549"/>
      <c r="H257" s="549"/>
      <c r="I257" s="551"/>
      <c r="J257" s="372">
        <f>J240+J241+J244+J245+J246+J247+J248+J249+J250+J251+J256</f>
        <v>24350.05</v>
      </c>
      <c r="K257" s="372">
        <f t="shared" ref="K257" si="62">K240+K241+K244+K245+K246+K247+K248+K249+K250+K251+K256</f>
        <v>17538.899110000002</v>
      </c>
      <c r="L257" s="373">
        <f t="shared" ref="L257:L263" si="63">K257/J257</f>
        <v>0.72028185198798367</v>
      </c>
      <c r="M257" s="284">
        <f>M240+M241+M244+M245+M246+M247+M248+M249+M250+M251+M256</f>
        <v>12485</v>
      </c>
    </row>
    <row r="258" spans="2:13" ht="24" x14ac:dyDescent="0.25">
      <c r="B258" s="60" t="s">
        <v>131</v>
      </c>
      <c r="C258" s="40" t="s">
        <v>3</v>
      </c>
      <c r="D258" s="37" t="s">
        <v>197</v>
      </c>
      <c r="E258" s="34" t="s">
        <v>364</v>
      </c>
      <c r="F258" s="34" t="s">
        <v>355</v>
      </c>
      <c r="G258" s="40" t="s">
        <v>198</v>
      </c>
      <c r="H258" s="53">
        <v>100115</v>
      </c>
      <c r="I258" s="116" t="s">
        <v>187</v>
      </c>
      <c r="J258" s="360">
        <v>51.9</v>
      </c>
      <c r="K258" s="345"/>
      <c r="L258" s="408">
        <f t="shared" si="63"/>
        <v>0</v>
      </c>
      <c r="M258" s="271"/>
    </row>
    <row r="259" spans="2:13" ht="24" x14ac:dyDescent="0.25">
      <c r="B259" s="55" t="s">
        <v>131</v>
      </c>
      <c r="C259" s="41" t="s">
        <v>3</v>
      </c>
      <c r="D259" s="38" t="s">
        <v>197</v>
      </c>
      <c r="E259" s="24" t="s">
        <v>364</v>
      </c>
      <c r="F259" s="24" t="s">
        <v>355</v>
      </c>
      <c r="G259" s="41" t="s">
        <v>198</v>
      </c>
      <c r="H259" s="82">
        <v>20</v>
      </c>
      <c r="I259" s="83" t="s">
        <v>375</v>
      </c>
      <c r="J259" s="361">
        <f>J260+J261</f>
        <v>1812.2</v>
      </c>
      <c r="K259" s="344">
        <f t="shared" ref="K259" si="64">K260+K261</f>
        <v>0</v>
      </c>
      <c r="L259" s="408">
        <f t="shared" si="63"/>
        <v>0</v>
      </c>
      <c r="M259" s="275">
        <f>M260+M261</f>
        <v>500</v>
      </c>
    </row>
    <row r="260" spans="2:13" x14ac:dyDescent="0.25">
      <c r="B260" s="55"/>
      <c r="C260" s="41" t="s">
        <v>3</v>
      </c>
      <c r="D260" s="38" t="s">
        <v>197</v>
      </c>
      <c r="E260" s="24" t="s">
        <v>364</v>
      </c>
      <c r="F260" s="24" t="s">
        <v>355</v>
      </c>
      <c r="G260" s="41" t="s">
        <v>198</v>
      </c>
      <c r="H260" s="82">
        <v>200130</v>
      </c>
      <c r="I260" s="83" t="s">
        <v>491</v>
      </c>
      <c r="J260" s="361">
        <v>270</v>
      </c>
      <c r="K260" s="340"/>
      <c r="L260" s="408">
        <f t="shared" si="63"/>
        <v>0</v>
      </c>
      <c r="M260" s="110">
        <v>500</v>
      </c>
    </row>
    <row r="261" spans="2:13" ht="24" x14ac:dyDescent="0.25">
      <c r="B261" s="55"/>
      <c r="C261" s="41" t="s">
        <v>3</v>
      </c>
      <c r="D261" s="38" t="s">
        <v>197</v>
      </c>
      <c r="E261" s="24" t="s">
        <v>364</v>
      </c>
      <c r="F261" s="24" t="s">
        <v>355</v>
      </c>
      <c r="G261" s="41" t="s">
        <v>198</v>
      </c>
      <c r="H261" s="38"/>
      <c r="I261" s="41" t="s">
        <v>395</v>
      </c>
      <c r="J261" s="361">
        <v>1542.2</v>
      </c>
      <c r="K261" s="340"/>
      <c r="L261" s="408">
        <f t="shared" si="63"/>
        <v>0</v>
      </c>
      <c r="M261" s="275"/>
    </row>
    <row r="262" spans="2:13" x14ac:dyDescent="0.25">
      <c r="B262" s="55" t="s">
        <v>131</v>
      </c>
      <c r="C262" s="41" t="s">
        <v>3</v>
      </c>
      <c r="D262" s="38" t="s">
        <v>197</v>
      </c>
      <c r="E262" s="24" t="s">
        <v>364</v>
      </c>
      <c r="F262" s="24" t="s">
        <v>355</v>
      </c>
      <c r="G262" s="41" t="s">
        <v>198</v>
      </c>
      <c r="H262" s="38">
        <v>570201</v>
      </c>
      <c r="I262" s="41" t="s">
        <v>150</v>
      </c>
      <c r="J262" s="361">
        <v>333</v>
      </c>
      <c r="K262" s="340"/>
      <c r="L262" s="408">
        <f t="shared" si="63"/>
        <v>0</v>
      </c>
      <c r="M262" s="275">
        <v>0</v>
      </c>
    </row>
    <row r="263" spans="2:13" ht="48" x14ac:dyDescent="0.25">
      <c r="B263" s="60" t="s">
        <v>131</v>
      </c>
      <c r="C263" s="79" t="s">
        <v>3</v>
      </c>
      <c r="D263" s="37" t="s">
        <v>197</v>
      </c>
      <c r="E263" s="23" t="s">
        <v>364</v>
      </c>
      <c r="F263" s="23" t="s">
        <v>355</v>
      </c>
      <c r="G263" s="79" t="s">
        <v>198</v>
      </c>
      <c r="H263" s="37">
        <v>850101</v>
      </c>
      <c r="I263" s="134" t="s">
        <v>374</v>
      </c>
      <c r="J263" s="360">
        <v>-0.83</v>
      </c>
      <c r="K263" s="345">
        <v>-0.82599999999999996</v>
      </c>
      <c r="L263" s="408">
        <f t="shared" si="63"/>
        <v>0.99518072289156623</v>
      </c>
      <c r="M263" s="271"/>
    </row>
    <row r="264" spans="2:13" ht="72" customHeight="1" thickBot="1" x14ac:dyDescent="0.3">
      <c r="B264" s="186" t="s">
        <v>131</v>
      </c>
      <c r="C264" s="80" t="s">
        <v>3</v>
      </c>
      <c r="D264" s="101" t="s">
        <v>197</v>
      </c>
      <c r="E264" s="99" t="s">
        <v>362</v>
      </c>
      <c r="F264" s="101" t="s">
        <v>363</v>
      </c>
      <c r="G264" s="79" t="s">
        <v>198</v>
      </c>
      <c r="H264" s="58">
        <v>850102</v>
      </c>
      <c r="I264" s="117" t="s">
        <v>495</v>
      </c>
      <c r="J264" s="412">
        <v>0</v>
      </c>
      <c r="K264" s="413"/>
      <c r="L264" s="414">
        <v>0</v>
      </c>
      <c r="M264" s="472">
        <v>0</v>
      </c>
    </row>
    <row r="265" spans="2:13" ht="15" customHeight="1" thickBot="1" x14ac:dyDescent="0.3">
      <c r="B265" s="548" t="s">
        <v>199</v>
      </c>
      <c r="C265" s="549"/>
      <c r="D265" s="549"/>
      <c r="E265" s="549"/>
      <c r="F265" s="549"/>
      <c r="G265" s="549"/>
      <c r="H265" s="549"/>
      <c r="I265" s="551"/>
      <c r="J265" s="372">
        <f>J258+J259+J262+J263+J264</f>
        <v>2196.2700000000004</v>
      </c>
      <c r="K265" s="372">
        <f t="shared" ref="K265" si="65">K258+K259+K262+K263+K264</f>
        <v>-0.82599999999999996</v>
      </c>
      <c r="L265" s="373">
        <f>K265/J265</f>
        <v>-3.7609219267212128E-4</v>
      </c>
      <c r="M265" s="284">
        <f>M258+M259+M262+M263+M264</f>
        <v>500</v>
      </c>
    </row>
    <row r="266" spans="2:13" ht="24" x14ac:dyDescent="0.25">
      <c r="B266" s="60" t="s">
        <v>131</v>
      </c>
      <c r="C266" s="40" t="s">
        <v>3</v>
      </c>
      <c r="D266" s="34" t="s">
        <v>200</v>
      </c>
      <c r="E266" s="57" t="s">
        <v>364</v>
      </c>
      <c r="F266" s="34" t="s">
        <v>355</v>
      </c>
      <c r="G266" s="93" t="s">
        <v>201</v>
      </c>
      <c r="H266" s="104">
        <v>100115</v>
      </c>
      <c r="I266" s="118" t="s">
        <v>187</v>
      </c>
      <c r="J266" s="415">
        <v>264.2</v>
      </c>
      <c r="K266" s="349"/>
      <c r="L266" s="416">
        <f>K266/J266*100</f>
        <v>0</v>
      </c>
      <c r="M266" s="276">
        <v>276</v>
      </c>
    </row>
    <row r="267" spans="2:13" ht="24" x14ac:dyDescent="0.25">
      <c r="B267" s="55" t="s">
        <v>131</v>
      </c>
      <c r="C267" s="41" t="s">
        <v>3</v>
      </c>
      <c r="D267" s="24" t="s">
        <v>200</v>
      </c>
      <c r="E267" s="38" t="s">
        <v>364</v>
      </c>
      <c r="F267" s="24" t="s">
        <v>355</v>
      </c>
      <c r="G267" s="63" t="s">
        <v>201</v>
      </c>
      <c r="H267" s="626">
        <v>20</v>
      </c>
      <c r="I267" s="107" t="s">
        <v>375</v>
      </c>
      <c r="J267" s="362">
        <f>J268+J269</f>
        <v>8702.9</v>
      </c>
      <c r="K267" s="337">
        <f t="shared" ref="K267" si="66">K268+K269</f>
        <v>1568.0653299999999</v>
      </c>
      <c r="L267" s="408">
        <f t="shared" ref="L267:L302" si="67">K267/J267</f>
        <v>0.18017733514115983</v>
      </c>
      <c r="M267" s="275">
        <f>M268+M269</f>
        <v>12451</v>
      </c>
    </row>
    <row r="268" spans="2:13" x14ac:dyDescent="0.25">
      <c r="B268" s="55" t="s">
        <v>131</v>
      </c>
      <c r="C268" s="41" t="s">
        <v>3</v>
      </c>
      <c r="D268" s="24" t="s">
        <v>200</v>
      </c>
      <c r="E268" s="38" t="s">
        <v>364</v>
      </c>
      <c r="F268" s="24" t="s">
        <v>355</v>
      </c>
      <c r="G268" s="63" t="s">
        <v>201</v>
      </c>
      <c r="H268" s="627"/>
      <c r="I268" s="107" t="s">
        <v>390</v>
      </c>
      <c r="J268" s="362">
        <v>1746</v>
      </c>
      <c r="K268" s="340">
        <v>1568.0653299999999</v>
      </c>
      <c r="L268" s="408">
        <f t="shared" si="67"/>
        <v>0.89809010882016027</v>
      </c>
      <c r="M268" s="112">
        <v>2000</v>
      </c>
    </row>
    <row r="269" spans="2:13" ht="24" x14ac:dyDescent="0.25">
      <c r="B269" s="55" t="s">
        <v>131</v>
      </c>
      <c r="C269" s="41" t="s">
        <v>3</v>
      </c>
      <c r="D269" s="24" t="s">
        <v>200</v>
      </c>
      <c r="E269" s="38" t="s">
        <v>364</v>
      </c>
      <c r="F269" s="24" t="s">
        <v>355</v>
      </c>
      <c r="G269" s="63" t="s">
        <v>201</v>
      </c>
      <c r="H269" s="628"/>
      <c r="I269" s="107" t="s">
        <v>394</v>
      </c>
      <c r="J269" s="362">
        <v>6956.9</v>
      </c>
      <c r="K269" s="337"/>
      <c r="L269" s="408">
        <f t="shared" si="67"/>
        <v>0</v>
      </c>
      <c r="M269" s="275">
        <v>10451</v>
      </c>
    </row>
    <row r="270" spans="2:13" ht="36" x14ac:dyDescent="0.25">
      <c r="B270" s="55" t="s">
        <v>131</v>
      </c>
      <c r="C270" s="41" t="s">
        <v>3</v>
      </c>
      <c r="D270" s="24" t="s">
        <v>200</v>
      </c>
      <c r="E270" s="38" t="s">
        <v>364</v>
      </c>
      <c r="F270" s="24" t="s">
        <v>355</v>
      </c>
      <c r="G270" s="63" t="s">
        <v>201</v>
      </c>
      <c r="H270" s="24" t="s">
        <v>188</v>
      </c>
      <c r="I270" s="63" t="s">
        <v>189</v>
      </c>
      <c r="J270" s="362">
        <v>4273.2700000000004</v>
      </c>
      <c r="K270" s="340">
        <v>4206.8990000000003</v>
      </c>
      <c r="L270" s="408">
        <f t="shared" si="67"/>
        <v>0.98446833455410021</v>
      </c>
      <c r="M270" s="275">
        <v>4540.3999999999996</v>
      </c>
    </row>
    <row r="271" spans="2:13" x14ac:dyDescent="0.25">
      <c r="B271" s="55" t="s">
        <v>131</v>
      </c>
      <c r="C271" s="41" t="s">
        <v>3</v>
      </c>
      <c r="D271" s="24" t="s">
        <v>200</v>
      </c>
      <c r="E271" s="38" t="s">
        <v>364</v>
      </c>
      <c r="F271" s="24" t="s">
        <v>355</v>
      </c>
      <c r="G271" s="63" t="s">
        <v>201</v>
      </c>
      <c r="H271" s="24" t="s">
        <v>190</v>
      </c>
      <c r="I271" s="63" t="s">
        <v>191</v>
      </c>
      <c r="J271" s="362">
        <v>1627.3</v>
      </c>
      <c r="K271" s="340"/>
      <c r="L271" s="408">
        <f t="shared" si="67"/>
        <v>0</v>
      </c>
      <c r="M271" s="275">
        <v>2200</v>
      </c>
    </row>
    <row r="272" spans="2:13" ht="24" x14ac:dyDescent="0.25">
      <c r="B272" s="55" t="s">
        <v>131</v>
      </c>
      <c r="C272" s="41" t="s">
        <v>3</v>
      </c>
      <c r="D272" s="24" t="s">
        <v>200</v>
      </c>
      <c r="E272" s="38" t="s">
        <v>364</v>
      </c>
      <c r="F272" s="24" t="s">
        <v>355</v>
      </c>
      <c r="G272" s="63" t="s">
        <v>201</v>
      </c>
      <c r="H272" s="85">
        <v>5602</v>
      </c>
      <c r="I272" s="125" t="s">
        <v>591</v>
      </c>
      <c r="J272" s="362">
        <f>J273+J274</f>
        <v>0</v>
      </c>
      <c r="K272" s="362">
        <f>K273+K274</f>
        <v>0</v>
      </c>
      <c r="L272" s="408" t="e">
        <f>K272/J272</f>
        <v>#DIV/0!</v>
      </c>
      <c r="M272" s="275">
        <f>M273+M274</f>
        <v>2608</v>
      </c>
    </row>
    <row r="273" spans="2:13" x14ac:dyDescent="0.25">
      <c r="B273" s="55" t="s">
        <v>131</v>
      </c>
      <c r="C273" s="41" t="s">
        <v>3</v>
      </c>
      <c r="D273" s="24" t="s">
        <v>200</v>
      </c>
      <c r="E273" s="38" t="s">
        <v>362</v>
      </c>
      <c r="F273" s="24" t="s">
        <v>355</v>
      </c>
      <c r="G273" s="63" t="s">
        <v>201</v>
      </c>
      <c r="H273" s="24">
        <v>560201</v>
      </c>
      <c r="I273" s="41" t="s">
        <v>503</v>
      </c>
      <c r="J273" s="362"/>
      <c r="K273" s="340"/>
      <c r="L273" s="417" t="e">
        <f t="shared" ref="L273:L274" si="68">K273/J273</f>
        <v>#DIV/0!</v>
      </c>
      <c r="M273" s="269">
        <v>52</v>
      </c>
    </row>
    <row r="274" spans="2:13" x14ac:dyDescent="0.25">
      <c r="B274" s="55" t="s">
        <v>131</v>
      </c>
      <c r="C274" s="41" t="s">
        <v>3</v>
      </c>
      <c r="D274" s="24" t="s">
        <v>200</v>
      </c>
      <c r="E274" s="38" t="s">
        <v>362</v>
      </c>
      <c r="F274" s="24" t="s">
        <v>355</v>
      </c>
      <c r="G274" s="63" t="s">
        <v>201</v>
      </c>
      <c r="H274" s="24">
        <v>560202</v>
      </c>
      <c r="I274" s="41" t="s">
        <v>504</v>
      </c>
      <c r="J274" s="362"/>
      <c r="K274" s="340"/>
      <c r="L274" s="417" t="e">
        <f t="shared" si="68"/>
        <v>#DIV/0!</v>
      </c>
      <c r="M274" s="269">
        <v>2556</v>
      </c>
    </row>
    <row r="275" spans="2:13" ht="36" x14ac:dyDescent="0.25">
      <c r="B275" s="55" t="s">
        <v>131</v>
      </c>
      <c r="C275" s="41" t="s">
        <v>3</v>
      </c>
      <c r="D275" s="24" t="s">
        <v>200</v>
      </c>
      <c r="E275" s="38" t="s">
        <v>364</v>
      </c>
      <c r="F275" s="24" t="s">
        <v>355</v>
      </c>
      <c r="G275" s="63" t="s">
        <v>201</v>
      </c>
      <c r="H275" s="85">
        <v>61</v>
      </c>
      <c r="I275" s="125" t="s">
        <v>373</v>
      </c>
      <c r="J275" s="362">
        <f>J276+J277+J278</f>
        <v>1600</v>
      </c>
      <c r="K275" s="337">
        <f t="shared" ref="K275" si="69">K276+K277+K278</f>
        <v>142.86866000000001</v>
      </c>
      <c r="L275" s="408">
        <f t="shared" si="67"/>
        <v>8.9292912500000002E-2</v>
      </c>
      <c r="M275" s="275">
        <f>M276+M277+M278</f>
        <v>15027</v>
      </c>
    </row>
    <row r="276" spans="2:13" ht="24" x14ac:dyDescent="0.25">
      <c r="B276" s="55" t="s">
        <v>131</v>
      </c>
      <c r="C276" s="41" t="s">
        <v>3</v>
      </c>
      <c r="D276" s="24" t="s">
        <v>200</v>
      </c>
      <c r="E276" s="38" t="s">
        <v>362</v>
      </c>
      <c r="F276" s="24" t="s">
        <v>355</v>
      </c>
      <c r="G276" s="63" t="s">
        <v>201</v>
      </c>
      <c r="H276" s="24" t="s">
        <v>202</v>
      </c>
      <c r="I276" s="63" t="s">
        <v>203</v>
      </c>
      <c r="J276" s="362">
        <v>1315</v>
      </c>
      <c r="K276" s="340">
        <v>120.23300999999999</v>
      </c>
      <c r="L276" s="408">
        <f t="shared" si="67"/>
        <v>9.1431946768060837E-2</v>
      </c>
      <c r="M276" s="269">
        <v>6382</v>
      </c>
    </row>
    <row r="277" spans="2:13" x14ac:dyDescent="0.25">
      <c r="B277" s="55" t="s">
        <v>131</v>
      </c>
      <c r="C277" s="41" t="s">
        <v>3</v>
      </c>
      <c r="D277" s="24" t="s">
        <v>200</v>
      </c>
      <c r="E277" s="38" t="s">
        <v>362</v>
      </c>
      <c r="F277" s="24" t="s">
        <v>355</v>
      </c>
      <c r="G277" s="63" t="s">
        <v>201</v>
      </c>
      <c r="H277" s="24">
        <v>610200</v>
      </c>
      <c r="I277" s="63" t="s">
        <v>204</v>
      </c>
      <c r="J277" s="362">
        <v>35</v>
      </c>
      <c r="K277" s="340">
        <v>0.11305</v>
      </c>
      <c r="L277" s="408">
        <f t="shared" si="67"/>
        <v>3.2299999999999998E-3</v>
      </c>
      <c r="M277" s="269">
        <v>7432</v>
      </c>
    </row>
    <row r="278" spans="2:13" x14ac:dyDescent="0.25">
      <c r="B278" s="55" t="s">
        <v>131</v>
      </c>
      <c r="C278" s="41" t="s">
        <v>3</v>
      </c>
      <c r="D278" s="24" t="s">
        <v>200</v>
      </c>
      <c r="E278" s="38" t="s">
        <v>362</v>
      </c>
      <c r="F278" s="24" t="s">
        <v>355</v>
      </c>
      <c r="G278" s="63" t="s">
        <v>201</v>
      </c>
      <c r="H278" s="24" t="s">
        <v>205</v>
      </c>
      <c r="I278" s="63" t="s">
        <v>107</v>
      </c>
      <c r="J278" s="362">
        <v>250</v>
      </c>
      <c r="K278" s="340">
        <v>22.522600000000001</v>
      </c>
      <c r="L278" s="408">
        <f t="shared" si="67"/>
        <v>9.0090400000000001E-2</v>
      </c>
      <c r="M278" s="269">
        <v>1213</v>
      </c>
    </row>
    <row r="279" spans="2:13" ht="36" x14ac:dyDescent="0.25">
      <c r="B279" s="55" t="s">
        <v>131</v>
      </c>
      <c r="C279" s="41" t="s">
        <v>3</v>
      </c>
      <c r="D279" s="24" t="s">
        <v>200</v>
      </c>
      <c r="E279" s="38" t="s">
        <v>362</v>
      </c>
      <c r="F279" s="24" t="s">
        <v>363</v>
      </c>
      <c r="G279" s="63" t="s">
        <v>201</v>
      </c>
      <c r="H279" s="24">
        <v>710102</v>
      </c>
      <c r="I279" s="63" t="s">
        <v>372</v>
      </c>
      <c r="J279" s="362">
        <v>10</v>
      </c>
      <c r="K279" s="340"/>
      <c r="L279" s="408">
        <f t="shared" si="67"/>
        <v>0</v>
      </c>
      <c r="M279" s="275"/>
    </row>
    <row r="280" spans="2:13" ht="24" x14ac:dyDescent="0.25">
      <c r="B280" s="55" t="s">
        <v>131</v>
      </c>
      <c r="C280" s="41" t="s">
        <v>3</v>
      </c>
      <c r="D280" s="24" t="s">
        <v>200</v>
      </c>
      <c r="E280" s="38" t="s">
        <v>362</v>
      </c>
      <c r="F280" s="24"/>
      <c r="G280" s="63" t="s">
        <v>201</v>
      </c>
      <c r="H280" s="85" t="s">
        <v>158</v>
      </c>
      <c r="I280" s="107" t="s">
        <v>368</v>
      </c>
      <c r="J280" s="362">
        <f>J281+J283+J284</f>
        <v>1726</v>
      </c>
      <c r="K280" s="337">
        <f t="shared" ref="K280" si="70">K281+K283+K284</f>
        <v>699.95852000000002</v>
      </c>
      <c r="L280" s="408">
        <f t="shared" si="67"/>
        <v>0.40553796060254926</v>
      </c>
      <c r="M280" s="275">
        <f>M281+M283+M284+M282</f>
        <v>3585</v>
      </c>
    </row>
    <row r="281" spans="2:13" x14ac:dyDescent="0.25">
      <c r="B281" s="55" t="s">
        <v>131</v>
      </c>
      <c r="C281" s="41" t="s">
        <v>3</v>
      </c>
      <c r="D281" s="24" t="s">
        <v>200</v>
      </c>
      <c r="E281" s="38" t="s">
        <v>362</v>
      </c>
      <c r="F281" s="23" t="s">
        <v>355</v>
      </c>
      <c r="G281" s="63" t="s">
        <v>201</v>
      </c>
      <c r="H281" s="24" t="s">
        <v>158</v>
      </c>
      <c r="I281" s="223" t="s">
        <v>369</v>
      </c>
      <c r="J281" s="418">
        <v>1616</v>
      </c>
      <c r="K281" s="340">
        <v>699.95852000000002</v>
      </c>
      <c r="L281" s="408">
        <f t="shared" si="67"/>
        <v>0.43314264851485151</v>
      </c>
      <c r="M281" s="274">
        <v>3400</v>
      </c>
    </row>
    <row r="282" spans="2:13" ht="24" x14ac:dyDescent="0.25">
      <c r="B282" s="55" t="s">
        <v>131</v>
      </c>
      <c r="C282" s="41" t="s">
        <v>3</v>
      </c>
      <c r="D282" s="24" t="s">
        <v>200</v>
      </c>
      <c r="E282" s="38" t="s">
        <v>362</v>
      </c>
      <c r="F282" s="23" t="s">
        <v>355</v>
      </c>
      <c r="G282" s="63" t="s">
        <v>201</v>
      </c>
      <c r="H282" s="24" t="s">
        <v>158</v>
      </c>
      <c r="I282" s="83" t="s">
        <v>579</v>
      </c>
      <c r="J282" s="418"/>
      <c r="K282" s="340"/>
      <c r="L282" s="408"/>
      <c r="M282" s="274">
        <v>185</v>
      </c>
    </row>
    <row r="283" spans="2:13" x14ac:dyDescent="0.25">
      <c r="B283" s="55" t="s">
        <v>131</v>
      </c>
      <c r="C283" s="41" t="s">
        <v>3</v>
      </c>
      <c r="D283" s="24" t="s">
        <v>200</v>
      </c>
      <c r="E283" s="38" t="s">
        <v>362</v>
      </c>
      <c r="F283" s="24" t="s">
        <v>363</v>
      </c>
      <c r="G283" s="63" t="s">
        <v>201</v>
      </c>
      <c r="H283" s="24" t="s">
        <v>158</v>
      </c>
      <c r="I283" s="63" t="s">
        <v>370</v>
      </c>
      <c r="J283" s="362">
        <v>50</v>
      </c>
      <c r="K283" s="340"/>
      <c r="L283" s="408">
        <f t="shared" si="67"/>
        <v>0</v>
      </c>
      <c r="M283" s="275"/>
    </row>
    <row r="284" spans="2:13" x14ac:dyDescent="0.25">
      <c r="B284" s="55" t="s">
        <v>131</v>
      </c>
      <c r="C284" s="41" t="s">
        <v>3</v>
      </c>
      <c r="D284" s="24" t="s">
        <v>200</v>
      </c>
      <c r="E284" s="38" t="s">
        <v>362</v>
      </c>
      <c r="F284" s="24" t="s">
        <v>363</v>
      </c>
      <c r="G284" s="63" t="s">
        <v>201</v>
      </c>
      <c r="H284" s="24" t="s">
        <v>158</v>
      </c>
      <c r="I284" s="62" t="s">
        <v>371</v>
      </c>
      <c r="J284" s="418">
        <v>60</v>
      </c>
      <c r="K284" s="345"/>
      <c r="L284" s="408">
        <f t="shared" si="67"/>
        <v>0</v>
      </c>
      <c r="M284" s="271"/>
    </row>
    <row r="285" spans="2:13" ht="48.75" thickBot="1" x14ac:dyDescent="0.3">
      <c r="B285" s="55" t="s">
        <v>131</v>
      </c>
      <c r="C285" s="41" t="s">
        <v>3</v>
      </c>
      <c r="D285" s="24" t="s">
        <v>200</v>
      </c>
      <c r="E285" s="38" t="s">
        <v>364</v>
      </c>
      <c r="F285" s="99" t="s">
        <v>363</v>
      </c>
      <c r="G285" s="63" t="s">
        <v>201</v>
      </c>
      <c r="H285" s="99">
        <v>850101</v>
      </c>
      <c r="I285" s="102" t="s">
        <v>374</v>
      </c>
      <c r="J285" s="419">
        <v>-5.87</v>
      </c>
      <c r="K285" s="420">
        <v>-6.6952699999999998</v>
      </c>
      <c r="L285" s="408">
        <f t="shared" si="67"/>
        <v>1.1405911413969334</v>
      </c>
      <c r="M285" s="266"/>
    </row>
    <row r="286" spans="2:13" ht="15" customHeight="1" thickBot="1" x14ac:dyDescent="0.3">
      <c r="B286" s="548" t="s">
        <v>206</v>
      </c>
      <c r="C286" s="549"/>
      <c r="D286" s="549"/>
      <c r="E286" s="549"/>
      <c r="F286" s="549"/>
      <c r="G286" s="549"/>
      <c r="H286" s="549"/>
      <c r="I286" s="551"/>
      <c r="J286" s="372">
        <f>J266+J267+J270+J271+J275+J279+J280+J285</f>
        <v>18197.8</v>
      </c>
      <c r="K286" s="421">
        <f>K266+K267+K270+K271+K275+K279+K280+K285</f>
        <v>6611.0962400000008</v>
      </c>
      <c r="L286" s="373">
        <f t="shared" si="67"/>
        <v>0.36329096044576825</v>
      </c>
      <c r="M286" s="284">
        <f>M266+M267+M270+M271+M275+M279+M280+M285</f>
        <v>38079.4</v>
      </c>
    </row>
    <row r="287" spans="2:13" s="3" customFormat="1" ht="24.75" x14ac:dyDescent="0.25">
      <c r="B287" s="60" t="s">
        <v>131</v>
      </c>
      <c r="C287" s="40" t="s">
        <v>3</v>
      </c>
      <c r="D287" s="37">
        <v>650402</v>
      </c>
      <c r="E287" s="34" t="s">
        <v>364</v>
      </c>
      <c r="F287" s="34" t="s">
        <v>355</v>
      </c>
      <c r="G287" s="40" t="s">
        <v>207</v>
      </c>
      <c r="H287" s="53">
        <v>100115</v>
      </c>
      <c r="I287" s="54" t="s">
        <v>187</v>
      </c>
      <c r="J287" s="360">
        <v>454.7</v>
      </c>
      <c r="K287" s="349"/>
      <c r="L287" s="416">
        <f t="shared" si="67"/>
        <v>0</v>
      </c>
      <c r="M287" s="287">
        <v>388</v>
      </c>
    </row>
    <row r="288" spans="2:13" ht="24" x14ac:dyDescent="0.25">
      <c r="B288" s="55" t="s">
        <v>131</v>
      </c>
      <c r="C288" s="41" t="s">
        <v>3</v>
      </c>
      <c r="D288" s="38" t="s">
        <v>208</v>
      </c>
      <c r="E288" s="24" t="s">
        <v>364</v>
      </c>
      <c r="F288" s="24" t="s">
        <v>355</v>
      </c>
      <c r="G288" s="41" t="s">
        <v>207</v>
      </c>
      <c r="H288" s="82">
        <v>20</v>
      </c>
      <c r="I288" s="83" t="s">
        <v>375</v>
      </c>
      <c r="J288" s="361">
        <f>J289+J290</f>
        <v>15588</v>
      </c>
      <c r="K288" s="337">
        <f t="shared" ref="K288" si="71">K289+K290</f>
        <v>1328.02496</v>
      </c>
      <c r="L288" s="408">
        <f t="shared" si="67"/>
        <v>8.5195340005132153E-2</v>
      </c>
      <c r="M288" s="112">
        <f>M289+M290</f>
        <v>17149</v>
      </c>
    </row>
    <row r="289" spans="2:13" x14ac:dyDescent="0.25">
      <c r="B289" s="55" t="s">
        <v>131</v>
      </c>
      <c r="C289" s="41" t="s">
        <v>3</v>
      </c>
      <c r="D289" s="38" t="s">
        <v>208</v>
      </c>
      <c r="E289" s="24" t="s">
        <v>364</v>
      </c>
      <c r="F289" s="24" t="s">
        <v>355</v>
      </c>
      <c r="G289" s="41" t="s">
        <v>207</v>
      </c>
      <c r="H289" s="38">
        <v>200200</v>
      </c>
      <c r="I289" s="83" t="s">
        <v>388</v>
      </c>
      <c r="J289" s="361">
        <v>1702</v>
      </c>
      <c r="K289" s="340">
        <v>1328.02496</v>
      </c>
      <c r="L289" s="408">
        <f t="shared" si="67"/>
        <v>0.78027318448883665</v>
      </c>
      <c r="M289" s="112">
        <v>2000</v>
      </c>
    </row>
    <row r="290" spans="2:13" ht="24" x14ac:dyDescent="0.25">
      <c r="B290" s="55" t="s">
        <v>131</v>
      </c>
      <c r="C290" s="41" t="s">
        <v>3</v>
      </c>
      <c r="D290" s="38" t="s">
        <v>208</v>
      </c>
      <c r="E290" s="24" t="s">
        <v>364</v>
      </c>
      <c r="F290" s="24" t="s">
        <v>355</v>
      </c>
      <c r="G290" s="41" t="s">
        <v>207</v>
      </c>
      <c r="H290" s="38"/>
      <c r="I290" s="41" t="s">
        <v>389</v>
      </c>
      <c r="J290" s="361">
        <v>13886</v>
      </c>
      <c r="K290" s="340"/>
      <c r="L290" s="408">
        <f t="shared" si="67"/>
        <v>0</v>
      </c>
      <c r="M290" s="112">
        <f>15128+21</f>
        <v>15149</v>
      </c>
    </row>
    <row r="291" spans="2:13" ht="36" x14ac:dyDescent="0.25">
      <c r="B291" s="55" t="s">
        <v>131</v>
      </c>
      <c r="C291" s="41" t="s">
        <v>3</v>
      </c>
      <c r="D291" s="38" t="s">
        <v>208</v>
      </c>
      <c r="E291" s="24" t="s">
        <v>364</v>
      </c>
      <c r="F291" s="24" t="s">
        <v>355</v>
      </c>
      <c r="G291" s="41" t="s">
        <v>207</v>
      </c>
      <c r="H291" s="38" t="s">
        <v>188</v>
      </c>
      <c r="I291" s="41" t="s">
        <v>189</v>
      </c>
      <c r="J291" s="361">
        <v>9365.07</v>
      </c>
      <c r="K291" s="340">
        <v>6014.4</v>
      </c>
      <c r="L291" s="408">
        <f t="shared" si="67"/>
        <v>0.64221623543657436</v>
      </c>
      <c r="M291" s="275">
        <v>9376.4</v>
      </c>
    </row>
    <row r="292" spans="2:13" x14ac:dyDescent="0.25">
      <c r="B292" s="55" t="s">
        <v>131</v>
      </c>
      <c r="C292" s="41" t="s">
        <v>3</v>
      </c>
      <c r="D292" s="38" t="s">
        <v>208</v>
      </c>
      <c r="E292" s="24" t="s">
        <v>364</v>
      </c>
      <c r="F292" s="24" t="s">
        <v>355</v>
      </c>
      <c r="G292" s="41" t="s">
        <v>207</v>
      </c>
      <c r="H292" s="38" t="s">
        <v>190</v>
      </c>
      <c r="I292" s="41" t="s">
        <v>191</v>
      </c>
      <c r="J292" s="361">
        <v>1092.27</v>
      </c>
      <c r="K292" s="340"/>
      <c r="L292" s="408">
        <f t="shared" si="67"/>
        <v>0</v>
      </c>
      <c r="M292" s="275">
        <f>311+834+80</f>
        <v>1225</v>
      </c>
    </row>
    <row r="293" spans="2:13" ht="24" x14ac:dyDescent="0.25">
      <c r="B293" s="55" t="s">
        <v>131</v>
      </c>
      <c r="C293" s="41" t="s">
        <v>3</v>
      </c>
      <c r="D293" s="38" t="s">
        <v>208</v>
      </c>
      <c r="E293" s="24" t="s">
        <v>362</v>
      </c>
      <c r="F293" s="24" t="s">
        <v>355</v>
      </c>
      <c r="G293" s="41" t="s">
        <v>207</v>
      </c>
      <c r="H293" s="38" t="s">
        <v>202</v>
      </c>
      <c r="I293" s="41" t="s">
        <v>203</v>
      </c>
      <c r="J293" s="361">
        <v>6029</v>
      </c>
      <c r="K293" s="340">
        <v>461.03336999999999</v>
      </c>
      <c r="L293" s="408">
        <f t="shared" si="67"/>
        <v>7.6469293415160053E-2</v>
      </c>
      <c r="M293" s="275"/>
    </row>
    <row r="294" spans="2:13" x14ac:dyDescent="0.25">
      <c r="B294" s="55" t="s">
        <v>131</v>
      </c>
      <c r="C294" s="41" t="s">
        <v>3</v>
      </c>
      <c r="D294" s="38" t="s">
        <v>208</v>
      </c>
      <c r="E294" s="24" t="s">
        <v>362</v>
      </c>
      <c r="F294" s="24" t="s">
        <v>355</v>
      </c>
      <c r="G294" s="41" t="s">
        <v>207</v>
      </c>
      <c r="H294" s="38">
        <v>610200</v>
      </c>
      <c r="I294" s="41" t="s">
        <v>204</v>
      </c>
      <c r="J294" s="361">
        <v>34</v>
      </c>
      <c r="K294" s="340">
        <v>4.1832799999999999</v>
      </c>
      <c r="L294" s="408">
        <f t="shared" si="67"/>
        <v>0.12303764705882353</v>
      </c>
      <c r="M294" s="275"/>
    </row>
    <row r="295" spans="2:13" x14ac:dyDescent="0.25">
      <c r="B295" s="55" t="s">
        <v>131</v>
      </c>
      <c r="C295" s="41" t="s">
        <v>3</v>
      </c>
      <c r="D295" s="38" t="s">
        <v>208</v>
      </c>
      <c r="E295" s="24" t="s">
        <v>362</v>
      </c>
      <c r="F295" s="24" t="s">
        <v>355</v>
      </c>
      <c r="G295" s="41" t="s">
        <v>207</v>
      </c>
      <c r="H295" s="38" t="s">
        <v>205</v>
      </c>
      <c r="I295" s="41" t="s">
        <v>107</v>
      </c>
      <c r="J295" s="361">
        <v>1041</v>
      </c>
      <c r="K295" s="340">
        <v>87.596339999999998</v>
      </c>
      <c r="L295" s="408">
        <f t="shared" si="67"/>
        <v>8.4146340057636881E-2</v>
      </c>
      <c r="M295" s="275"/>
    </row>
    <row r="296" spans="2:13" x14ac:dyDescent="0.25">
      <c r="B296" s="55" t="s">
        <v>131</v>
      </c>
      <c r="C296" s="41" t="s">
        <v>3</v>
      </c>
      <c r="D296" s="38" t="s">
        <v>208</v>
      </c>
      <c r="E296" s="24" t="s">
        <v>362</v>
      </c>
      <c r="F296" s="24" t="s">
        <v>363</v>
      </c>
      <c r="G296" s="41" t="s">
        <v>207</v>
      </c>
      <c r="H296" s="38" t="s">
        <v>209</v>
      </c>
      <c r="I296" s="41" t="s">
        <v>359</v>
      </c>
      <c r="J296" s="361">
        <v>195</v>
      </c>
      <c r="K296" s="340"/>
      <c r="L296" s="408">
        <f t="shared" si="67"/>
        <v>0</v>
      </c>
      <c r="M296" s="275"/>
    </row>
    <row r="297" spans="2:13" x14ac:dyDescent="0.25">
      <c r="B297" s="55" t="s">
        <v>131</v>
      </c>
      <c r="C297" s="41" t="s">
        <v>3</v>
      </c>
      <c r="D297" s="38" t="s">
        <v>208</v>
      </c>
      <c r="E297" s="24" t="s">
        <v>362</v>
      </c>
      <c r="F297" s="24"/>
      <c r="G297" s="41" t="s">
        <v>207</v>
      </c>
      <c r="H297" s="82" t="s">
        <v>158</v>
      </c>
      <c r="I297" s="83" t="s">
        <v>358</v>
      </c>
      <c r="J297" s="361">
        <f>J298+J299</f>
        <v>6863.24</v>
      </c>
      <c r="K297" s="344">
        <f t="shared" ref="K297" si="72">K298+K299</f>
        <v>8343.1031399999993</v>
      </c>
      <c r="L297" s="408">
        <f t="shared" si="67"/>
        <v>1.2156216509986537</v>
      </c>
      <c r="M297" s="275">
        <f>M298+M299</f>
        <v>4080.5</v>
      </c>
    </row>
    <row r="298" spans="2:13" x14ac:dyDescent="0.25">
      <c r="B298" s="55" t="s">
        <v>131</v>
      </c>
      <c r="C298" s="41" t="s">
        <v>3</v>
      </c>
      <c r="D298" s="38" t="s">
        <v>208</v>
      </c>
      <c r="E298" s="24" t="s">
        <v>362</v>
      </c>
      <c r="F298" s="24" t="s">
        <v>355</v>
      </c>
      <c r="G298" s="41" t="s">
        <v>207</v>
      </c>
      <c r="H298" s="37"/>
      <c r="I298" s="137" t="s">
        <v>355</v>
      </c>
      <c r="J298" s="360">
        <v>6806.24</v>
      </c>
      <c r="K298" s="345">
        <v>4171.5249000000003</v>
      </c>
      <c r="L298" s="408">
        <f t="shared" si="67"/>
        <v>0.61289712087731263</v>
      </c>
      <c r="M298" s="274">
        <v>3783.5</v>
      </c>
    </row>
    <row r="299" spans="2:13" ht="24" x14ac:dyDescent="0.25">
      <c r="B299" s="55" t="s">
        <v>131</v>
      </c>
      <c r="C299" s="41" t="s">
        <v>3</v>
      </c>
      <c r="D299" s="38" t="s">
        <v>208</v>
      </c>
      <c r="E299" s="24" t="s">
        <v>362</v>
      </c>
      <c r="F299" s="24" t="s">
        <v>363</v>
      </c>
      <c r="G299" s="41" t="s">
        <v>207</v>
      </c>
      <c r="H299" s="38"/>
      <c r="I299" s="83" t="s">
        <v>579</v>
      </c>
      <c r="J299" s="361">
        <v>57</v>
      </c>
      <c r="K299" s="340">
        <v>4171.5782399999998</v>
      </c>
      <c r="L299" s="408">
        <f t="shared" si="67"/>
        <v>73.18558315789474</v>
      </c>
      <c r="M299" s="269">
        <v>297</v>
      </c>
    </row>
    <row r="300" spans="2:13" ht="48" x14ac:dyDescent="0.25">
      <c r="B300" s="55" t="s">
        <v>131</v>
      </c>
      <c r="C300" s="41" t="s">
        <v>3</v>
      </c>
      <c r="D300" s="38" t="s">
        <v>208</v>
      </c>
      <c r="E300" s="24" t="s">
        <v>364</v>
      </c>
      <c r="F300" s="24" t="s">
        <v>363</v>
      </c>
      <c r="G300" s="41" t="s">
        <v>207</v>
      </c>
      <c r="H300" s="24">
        <v>850101</v>
      </c>
      <c r="I300" s="143" t="s">
        <v>374</v>
      </c>
      <c r="J300" s="361">
        <v>-12.52</v>
      </c>
      <c r="K300" s="337">
        <v>-27.116399999999999</v>
      </c>
      <c r="L300" s="408">
        <f t="shared" si="67"/>
        <v>2.1658466453674121</v>
      </c>
      <c r="M300" s="275"/>
    </row>
    <row r="301" spans="2:13" ht="48.75" thickBot="1" x14ac:dyDescent="0.3">
      <c r="B301" s="89" t="s">
        <v>131</v>
      </c>
      <c r="C301" s="105" t="s">
        <v>3</v>
      </c>
      <c r="D301" s="58" t="s">
        <v>208</v>
      </c>
      <c r="E301" s="106" t="s">
        <v>364</v>
      </c>
      <c r="F301" s="106" t="s">
        <v>363</v>
      </c>
      <c r="G301" s="105" t="s">
        <v>207</v>
      </c>
      <c r="H301" s="106">
        <v>850102</v>
      </c>
      <c r="I301" s="108" t="s">
        <v>365</v>
      </c>
      <c r="J301" s="363">
        <v>0</v>
      </c>
      <c r="K301" s="328">
        <f>-24.29/1000</f>
        <v>-2.4289999999999999E-2</v>
      </c>
      <c r="L301" s="408"/>
      <c r="M301" s="266"/>
    </row>
    <row r="302" spans="2:13" ht="15" customHeight="1" thickBot="1" x14ac:dyDescent="0.3">
      <c r="B302" s="548" t="s">
        <v>210</v>
      </c>
      <c r="C302" s="549"/>
      <c r="D302" s="549"/>
      <c r="E302" s="549"/>
      <c r="F302" s="549"/>
      <c r="G302" s="549"/>
      <c r="H302" s="549"/>
      <c r="I302" s="551"/>
      <c r="J302" s="372">
        <f>J287+J288+J291+J292+J293+J294+J295+J296+J297+J300</f>
        <v>40649.760000000002</v>
      </c>
      <c r="K302" s="421">
        <f>K287+K288+K291+K292+K293+K294+K295+K296+K297+K300</f>
        <v>16211.224689999997</v>
      </c>
      <c r="L302" s="373">
        <f t="shared" si="67"/>
        <v>0.39880246992848167</v>
      </c>
      <c r="M302" s="284">
        <f t="shared" ref="M302" si="73">M287+M288+M291+M292+M293+M294+M295+M296+M297+M300</f>
        <v>32218.9</v>
      </c>
    </row>
    <row r="303" spans="2:13" x14ac:dyDescent="0.25">
      <c r="B303" s="92" t="s">
        <v>131</v>
      </c>
      <c r="C303" s="40" t="s">
        <v>3</v>
      </c>
      <c r="D303" s="57">
        <v>650403</v>
      </c>
      <c r="E303" s="34" t="s">
        <v>364</v>
      </c>
      <c r="F303" s="34" t="s">
        <v>355</v>
      </c>
      <c r="G303" s="40" t="s">
        <v>211</v>
      </c>
      <c r="H303" s="57">
        <v>20</v>
      </c>
      <c r="I303" s="40" t="s">
        <v>149</v>
      </c>
      <c r="J303" s="360">
        <v>98</v>
      </c>
      <c r="K303" s="345"/>
      <c r="L303" s="416">
        <f>K303/J303*100</f>
        <v>0</v>
      </c>
      <c r="M303" s="271"/>
    </row>
    <row r="304" spans="2:13" ht="15.75" thickBot="1" x14ac:dyDescent="0.3">
      <c r="B304" s="61" t="s">
        <v>131</v>
      </c>
      <c r="C304" s="42" t="s">
        <v>3</v>
      </c>
      <c r="D304" s="39">
        <v>650403</v>
      </c>
      <c r="E304" s="99" t="s">
        <v>364</v>
      </c>
      <c r="F304" s="99" t="s">
        <v>355</v>
      </c>
      <c r="G304" s="80" t="s">
        <v>211</v>
      </c>
      <c r="H304" s="39" t="s">
        <v>190</v>
      </c>
      <c r="I304" s="42" t="s">
        <v>191</v>
      </c>
      <c r="J304" s="376">
        <v>60</v>
      </c>
      <c r="K304" s="355"/>
      <c r="L304" s="414">
        <f>K304/J304*100</f>
        <v>0</v>
      </c>
      <c r="M304" s="270"/>
    </row>
    <row r="305" spans="2:13" ht="15" customHeight="1" thickBot="1" x14ac:dyDescent="0.3">
      <c r="B305" s="548" t="s">
        <v>212</v>
      </c>
      <c r="C305" s="549"/>
      <c r="D305" s="549"/>
      <c r="E305" s="549"/>
      <c r="F305" s="549"/>
      <c r="G305" s="549"/>
      <c r="H305" s="549"/>
      <c r="I305" s="550"/>
      <c r="J305" s="422">
        <f t="shared" ref="J305" si="74">SUM(J303:J304)</f>
        <v>158</v>
      </c>
      <c r="K305" s="421">
        <f t="shared" ref="K305" si="75">SUM(K303:K304)</f>
        <v>0</v>
      </c>
      <c r="L305" s="373">
        <f>K305/J305*100</f>
        <v>0</v>
      </c>
      <c r="M305" s="284">
        <f t="shared" ref="M305" si="76">SUM(M303:M304)</f>
        <v>0</v>
      </c>
    </row>
    <row r="306" spans="2:13" ht="15.75" thickBot="1" x14ac:dyDescent="0.3">
      <c r="B306" s="49" t="s">
        <v>131</v>
      </c>
      <c r="C306" s="29" t="s">
        <v>3</v>
      </c>
      <c r="D306" s="58">
        <v>650500</v>
      </c>
      <c r="E306" s="30" t="s">
        <v>364</v>
      </c>
      <c r="F306" s="30" t="s">
        <v>355</v>
      </c>
      <c r="G306" s="59" t="s">
        <v>213</v>
      </c>
      <c r="H306" s="58">
        <v>20</v>
      </c>
      <c r="I306" s="59" t="s">
        <v>149</v>
      </c>
      <c r="J306" s="363">
        <v>224</v>
      </c>
      <c r="K306" s="331"/>
      <c r="L306" s="423">
        <f>K306/J306*100</f>
        <v>0</v>
      </c>
      <c r="M306" s="266"/>
    </row>
    <row r="307" spans="2:13" ht="15" customHeight="1" thickBot="1" x14ac:dyDescent="0.3">
      <c r="B307" s="548" t="s">
        <v>214</v>
      </c>
      <c r="C307" s="549"/>
      <c r="D307" s="549"/>
      <c r="E307" s="549"/>
      <c r="F307" s="549"/>
      <c r="G307" s="549"/>
      <c r="H307" s="549"/>
      <c r="I307" s="551"/>
      <c r="J307" s="372">
        <f>SUM(J306:J306)</f>
        <v>224</v>
      </c>
      <c r="K307" s="421">
        <f t="shared" ref="K307" si="77">SUM(K306:K306)</f>
        <v>0</v>
      </c>
      <c r="L307" s="373">
        <f>K307/J307*100</f>
        <v>0</v>
      </c>
      <c r="M307" s="284">
        <f>SUM(M306:M306)</f>
        <v>0</v>
      </c>
    </row>
    <row r="308" spans="2:13" ht="15.75" thickBot="1" x14ac:dyDescent="0.3">
      <c r="B308" s="28" t="s">
        <v>131</v>
      </c>
      <c r="C308" s="29" t="s">
        <v>3</v>
      </c>
      <c r="D308" s="76">
        <v>651103</v>
      </c>
      <c r="E308" s="30" t="s">
        <v>364</v>
      </c>
      <c r="F308" s="30" t="s">
        <v>355</v>
      </c>
      <c r="G308" s="59" t="s">
        <v>215</v>
      </c>
      <c r="H308" s="76">
        <v>510101</v>
      </c>
      <c r="I308" s="59" t="s">
        <v>164</v>
      </c>
      <c r="J308" s="381">
        <v>50</v>
      </c>
      <c r="K308" s="371">
        <v>50</v>
      </c>
      <c r="L308" s="423">
        <f t="shared" ref="L308:L318" si="78">K308/J308</f>
        <v>1</v>
      </c>
      <c r="M308" s="267"/>
    </row>
    <row r="309" spans="2:13" ht="15" customHeight="1" thickBot="1" x14ac:dyDescent="0.3">
      <c r="B309" s="548" t="s">
        <v>216</v>
      </c>
      <c r="C309" s="549"/>
      <c r="D309" s="549"/>
      <c r="E309" s="549"/>
      <c r="F309" s="549"/>
      <c r="G309" s="549"/>
      <c r="H309" s="549"/>
      <c r="I309" s="551"/>
      <c r="J309" s="372">
        <f>SUM(J308:J308)</f>
        <v>50</v>
      </c>
      <c r="K309" s="421">
        <f t="shared" ref="K309" si="79">SUM(K308:K308)</f>
        <v>50</v>
      </c>
      <c r="L309" s="373">
        <f t="shared" si="78"/>
        <v>1</v>
      </c>
      <c r="M309" s="284">
        <f>SUM(M308:M308)</f>
        <v>0</v>
      </c>
    </row>
    <row r="310" spans="2:13" s="254" customFormat="1" ht="24" x14ac:dyDescent="0.25">
      <c r="B310" s="60" t="s">
        <v>131</v>
      </c>
      <c r="C310" s="60" t="s">
        <v>3</v>
      </c>
      <c r="D310" s="23" t="s">
        <v>217</v>
      </c>
      <c r="E310" s="37" t="s">
        <v>364</v>
      </c>
      <c r="F310" s="23" t="s">
        <v>363</v>
      </c>
      <c r="G310" s="62" t="s">
        <v>218</v>
      </c>
      <c r="H310" s="487">
        <v>10</v>
      </c>
      <c r="I310" s="486" t="s">
        <v>552</v>
      </c>
      <c r="J310" s="147">
        <f>J311+J312+J313+J314</f>
        <v>746</v>
      </c>
      <c r="K310" s="147">
        <f t="shared" ref="K310" si="80">K311+K312+K313+K314</f>
        <v>730.64499999999998</v>
      </c>
      <c r="L310" s="424">
        <f t="shared" si="78"/>
        <v>0.97941689008042898</v>
      </c>
      <c r="M310" s="466">
        <f>M311+M312+M313+M314</f>
        <v>711</v>
      </c>
    </row>
    <row r="311" spans="2:13" ht="24" x14ac:dyDescent="0.25">
      <c r="B311" s="60" t="s">
        <v>131</v>
      </c>
      <c r="C311" s="60" t="s">
        <v>3</v>
      </c>
      <c r="D311" s="23" t="s">
        <v>217</v>
      </c>
      <c r="E311" s="37" t="s">
        <v>364</v>
      </c>
      <c r="F311" s="23" t="s">
        <v>363</v>
      </c>
      <c r="G311" s="62" t="s">
        <v>218</v>
      </c>
      <c r="H311" s="23">
        <v>100115</v>
      </c>
      <c r="I311" s="62" t="s">
        <v>378</v>
      </c>
      <c r="J311" s="339">
        <v>82.28</v>
      </c>
      <c r="K311" s="345">
        <v>80.819000000000003</v>
      </c>
      <c r="L311" s="424">
        <f t="shared" si="78"/>
        <v>0.98224355858045698</v>
      </c>
      <c r="M311" s="271">
        <v>81</v>
      </c>
    </row>
    <row r="312" spans="2:13" x14ac:dyDescent="0.25">
      <c r="B312" s="55" t="s">
        <v>131</v>
      </c>
      <c r="C312" s="55" t="s">
        <v>3</v>
      </c>
      <c r="D312" s="24" t="s">
        <v>217</v>
      </c>
      <c r="E312" s="38" t="s">
        <v>364</v>
      </c>
      <c r="F312" s="24" t="s">
        <v>363</v>
      </c>
      <c r="G312" s="63" t="s">
        <v>218</v>
      </c>
      <c r="H312" s="24" t="s">
        <v>141</v>
      </c>
      <c r="I312" s="63" t="s">
        <v>379</v>
      </c>
      <c r="J312" s="344">
        <v>435.48</v>
      </c>
      <c r="K312" s="340">
        <v>422.39</v>
      </c>
      <c r="L312" s="425">
        <f t="shared" si="78"/>
        <v>0.96994121429227509</v>
      </c>
      <c r="M312" s="275">
        <v>509</v>
      </c>
    </row>
    <row r="313" spans="2:13" x14ac:dyDescent="0.25">
      <c r="B313" s="55" t="s">
        <v>131</v>
      </c>
      <c r="C313" s="55" t="s">
        <v>3</v>
      </c>
      <c r="D313" s="24" t="s">
        <v>217</v>
      </c>
      <c r="E313" s="38" t="s">
        <v>364</v>
      </c>
      <c r="F313" s="24" t="s">
        <v>363</v>
      </c>
      <c r="G313" s="63" t="s">
        <v>218</v>
      </c>
      <c r="H313" s="24" t="s">
        <v>145</v>
      </c>
      <c r="I313" s="63" t="s">
        <v>380</v>
      </c>
      <c r="J313" s="344">
        <v>218.2</v>
      </c>
      <c r="K313" s="340">
        <v>217.93199999999999</v>
      </c>
      <c r="L313" s="425">
        <f t="shared" si="78"/>
        <v>0.99877176901924836</v>
      </c>
      <c r="M313" s="275">
        <v>110</v>
      </c>
    </row>
    <row r="314" spans="2:13" ht="24" x14ac:dyDescent="0.25">
      <c r="B314" s="55" t="s">
        <v>131</v>
      </c>
      <c r="C314" s="55" t="s">
        <v>3</v>
      </c>
      <c r="D314" s="24" t="s">
        <v>217</v>
      </c>
      <c r="E314" s="38" t="s">
        <v>364</v>
      </c>
      <c r="F314" s="24" t="s">
        <v>363</v>
      </c>
      <c r="G314" s="63" t="s">
        <v>218</v>
      </c>
      <c r="H314" s="24" t="s">
        <v>147</v>
      </c>
      <c r="I314" s="63" t="s">
        <v>381</v>
      </c>
      <c r="J314" s="344">
        <v>10.039999999999999</v>
      </c>
      <c r="K314" s="340">
        <v>9.5039999999999996</v>
      </c>
      <c r="L314" s="425">
        <f t="shared" si="78"/>
        <v>0.94661354581673307</v>
      </c>
      <c r="M314" s="275">
        <v>11</v>
      </c>
    </row>
    <row r="315" spans="2:13" ht="24" x14ac:dyDescent="0.25">
      <c r="B315" s="55" t="s">
        <v>131</v>
      </c>
      <c r="C315" s="55" t="s">
        <v>3</v>
      </c>
      <c r="D315" s="24" t="s">
        <v>217</v>
      </c>
      <c r="E315" s="38" t="s">
        <v>364</v>
      </c>
      <c r="F315" s="24"/>
      <c r="G315" s="63" t="s">
        <v>218</v>
      </c>
      <c r="H315" s="85">
        <v>20</v>
      </c>
      <c r="I315" s="107" t="s">
        <v>375</v>
      </c>
      <c r="J315" s="344">
        <f>J316+J317</f>
        <v>692</v>
      </c>
      <c r="K315" s="337">
        <f>K316+K317</f>
        <v>662.80345</v>
      </c>
      <c r="L315" s="425">
        <f t="shared" si="78"/>
        <v>0.95780845375722545</v>
      </c>
      <c r="M315" s="275">
        <f>M316+M317</f>
        <v>1028</v>
      </c>
    </row>
    <row r="316" spans="2:13" x14ac:dyDescent="0.25">
      <c r="B316" s="55" t="s">
        <v>131</v>
      </c>
      <c r="C316" s="55" t="s">
        <v>3</v>
      </c>
      <c r="D316" s="24" t="s">
        <v>217</v>
      </c>
      <c r="E316" s="38" t="s">
        <v>364</v>
      </c>
      <c r="F316" s="24" t="s">
        <v>355</v>
      </c>
      <c r="G316" s="63" t="s">
        <v>218</v>
      </c>
      <c r="H316" s="313">
        <v>200200</v>
      </c>
      <c r="I316" s="223" t="s">
        <v>376</v>
      </c>
      <c r="J316" s="339">
        <v>80</v>
      </c>
      <c r="K316" s="345">
        <v>59.653599999999997</v>
      </c>
      <c r="L316" s="425">
        <f t="shared" si="78"/>
        <v>0.74566999999999994</v>
      </c>
      <c r="M316" s="287">
        <v>500</v>
      </c>
    </row>
    <row r="317" spans="2:13" ht="15.75" thickBot="1" x14ac:dyDescent="0.3">
      <c r="B317" s="55" t="s">
        <v>131</v>
      </c>
      <c r="C317" s="55" t="s">
        <v>3</v>
      </c>
      <c r="D317" s="25" t="s">
        <v>217</v>
      </c>
      <c r="E317" s="38" t="s">
        <v>364</v>
      </c>
      <c r="F317" s="25" t="s">
        <v>363</v>
      </c>
      <c r="G317" s="63" t="s">
        <v>218</v>
      </c>
      <c r="H317" s="189">
        <v>20</v>
      </c>
      <c r="I317" s="187" t="s">
        <v>377</v>
      </c>
      <c r="J317" s="97">
        <v>612</v>
      </c>
      <c r="K317" s="420">
        <v>603.14985000000001</v>
      </c>
      <c r="L317" s="425">
        <f t="shared" si="78"/>
        <v>0.98553897058823536</v>
      </c>
      <c r="M317" s="473">
        <v>528</v>
      </c>
    </row>
    <row r="318" spans="2:13" ht="15" customHeight="1" thickBot="1" x14ac:dyDescent="0.3">
      <c r="B318" s="548" t="s">
        <v>219</v>
      </c>
      <c r="C318" s="549"/>
      <c r="D318" s="549"/>
      <c r="E318" s="549"/>
      <c r="F318" s="549"/>
      <c r="G318" s="549"/>
      <c r="H318" s="549"/>
      <c r="I318" s="551"/>
      <c r="J318" s="372">
        <f>J311+J312+J313+J314+J315</f>
        <v>1438</v>
      </c>
      <c r="K318" s="421">
        <f t="shared" ref="K318" si="81">K311+K312+K313+K314+K315</f>
        <v>1393.4484499999999</v>
      </c>
      <c r="L318" s="373">
        <f t="shared" si="78"/>
        <v>0.96901839360222519</v>
      </c>
      <c r="M318" s="284">
        <f>M311+M312+M313+M314+M315</f>
        <v>1739</v>
      </c>
    </row>
    <row r="319" spans="2:13" ht="24" x14ac:dyDescent="0.25">
      <c r="B319" s="40" t="s">
        <v>131</v>
      </c>
      <c r="C319" s="40" t="s">
        <v>3</v>
      </c>
      <c r="D319" s="511" t="s">
        <v>220</v>
      </c>
      <c r="E319" s="34" t="s">
        <v>364</v>
      </c>
      <c r="F319" s="34" t="s">
        <v>363</v>
      </c>
      <c r="G319" s="40" t="s">
        <v>221</v>
      </c>
      <c r="H319" s="70">
        <v>570201</v>
      </c>
      <c r="I319" s="71" t="s">
        <v>577</v>
      </c>
      <c r="J319" s="359">
        <v>100</v>
      </c>
      <c r="K319" s="426">
        <v>0</v>
      </c>
      <c r="L319" s="416">
        <v>0</v>
      </c>
      <c r="M319" s="287"/>
    </row>
    <row r="320" spans="2:13" ht="24" x14ac:dyDescent="0.25">
      <c r="B320" s="60" t="s">
        <v>131</v>
      </c>
      <c r="C320" s="79" t="s">
        <v>3</v>
      </c>
      <c r="D320" s="37" t="s">
        <v>220</v>
      </c>
      <c r="E320" s="23" t="s">
        <v>364</v>
      </c>
      <c r="F320" s="23" t="s">
        <v>363</v>
      </c>
      <c r="G320" s="79" t="s">
        <v>221</v>
      </c>
      <c r="H320" s="98">
        <v>550118</v>
      </c>
      <c r="I320" s="255" t="s">
        <v>574</v>
      </c>
      <c r="J320" s="359">
        <v>0</v>
      </c>
      <c r="K320" s="334">
        <v>0</v>
      </c>
      <c r="L320" s="416">
        <v>0</v>
      </c>
      <c r="M320" s="287">
        <v>3424.05</v>
      </c>
    </row>
    <row r="321" spans="2:13" ht="24" x14ac:dyDescent="0.25">
      <c r="B321" s="60" t="s">
        <v>131</v>
      </c>
      <c r="C321" s="79" t="s">
        <v>3</v>
      </c>
      <c r="D321" s="37" t="s">
        <v>220</v>
      </c>
      <c r="E321" s="23" t="s">
        <v>364</v>
      </c>
      <c r="F321" s="23" t="s">
        <v>355</v>
      </c>
      <c r="G321" s="79" t="s">
        <v>221</v>
      </c>
      <c r="H321" s="98">
        <v>570203</v>
      </c>
      <c r="I321" s="79" t="s">
        <v>509</v>
      </c>
      <c r="J321" s="359">
        <v>5.14</v>
      </c>
      <c r="K321" s="334"/>
      <c r="L321" s="416">
        <v>0</v>
      </c>
      <c r="M321" s="287"/>
    </row>
    <row r="322" spans="2:13" ht="27.75" x14ac:dyDescent="0.25">
      <c r="B322" s="60" t="s">
        <v>131</v>
      </c>
      <c r="C322" s="79" t="s">
        <v>3</v>
      </c>
      <c r="D322" s="37" t="s">
        <v>220</v>
      </c>
      <c r="E322" s="23" t="s">
        <v>364</v>
      </c>
      <c r="F322" s="23" t="s">
        <v>363</v>
      </c>
      <c r="G322" s="79" t="s">
        <v>221</v>
      </c>
      <c r="H322" s="37" t="s">
        <v>222</v>
      </c>
      <c r="I322" s="79" t="s">
        <v>564</v>
      </c>
      <c r="J322" s="360">
        <v>19.2</v>
      </c>
      <c r="K322" s="345">
        <v>11.28</v>
      </c>
      <c r="L322" s="408">
        <f t="shared" ref="L322:L344" si="82">K322/J322</f>
        <v>0.58750000000000002</v>
      </c>
      <c r="M322" s="287">
        <v>46.52</v>
      </c>
    </row>
    <row r="323" spans="2:13" ht="36" x14ac:dyDescent="0.25">
      <c r="B323" s="60" t="s">
        <v>131</v>
      </c>
      <c r="C323" s="79" t="s">
        <v>3</v>
      </c>
      <c r="D323" s="37">
        <v>655000</v>
      </c>
      <c r="E323" s="23" t="s">
        <v>364</v>
      </c>
      <c r="F323" s="23" t="s">
        <v>363</v>
      </c>
      <c r="G323" s="79" t="s">
        <v>221</v>
      </c>
      <c r="H323" s="38" t="s">
        <v>188</v>
      </c>
      <c r="I323" s="41" t="s">
        <v>189</v>
      </c>
      <c r="J323" s="360">
        <v>0</v>
      </c>
      <c r="K323" s="345">
        <v>0</v>
      </c>
      <c r="L323" s="408"/>
      <c r="M323" s="287">
        <v>465.9</v>
      </c>
    </row>
    <row r="324" spans="2:13" ht="24" x14ac:dyDescent="0.25">
      <c r="B324" s="60" t="s">
        <v>131</v>
      </c>
      <c r="C324" s="79" t="s">
        <v>3</v>
      </c>
      <c r="D324" s="37">
        <v>655000</v>
      </c>
      <c r="E324" s="23" t="s">
        <v>364</v>
      </c>
      <c r="F324" s="23" t="s">
        <v>363</v>
      </c>
      <c r="G324" s="79" t="s">
        <v>221</v>
      </c>
      <c r="H324" s="38">
        <v>580101</v>
      </c>
      <c r="I324" s="41" t="s">
        <v>503</v>
      </c>
      <c r="J324" s="360"/>
      <c r="K324" s="345"/>
      <c r="L324" s="408"/>
      <c r="M324" s="287"/>
    </row>
    <row r="325" spans="2:13" ht="48" x14ac:dyDescent="0.25">
      <c r="B325" s="60" t="s">
        <v>131</v>
      </c>
      <c r="C325" s="79" t="s">
        <v>3</v>
      </c>
      <c r="D325" s="37">
        <v>655000</v>
      </c>
      <c r="E325" s="23" t="s">
        <v>362</v>
      </c>
      <c r="F325" s="23" t="s">
        <v>355</v>
      </c>
      <c r="G325" s="41" t="s">
        <v>221</v>
      </c>
      <c r="H325" s="82">
        <v>60</v>
      </c>
      <c r="I325" s="196" t="s">
        <v>590</v>
      </c>
      <c r="J325" s="360">
        <f>J326+J327</f>
        <v>50937</v>
      </c>
      <c r="K325" s="339">
        <f>K326+K327</f>
        <v>0</v>
      </c>
      <c r="L325" s="408">
        <f>K325/J325</f>
        <v>0</v>
      </c>
      <c r="M325" s="287">
        <f>M326+M327</f>
        <v>50937</v>
      </c>
    </row>
    <row r="326" spans="2:13" ht="24" x14ac:dyDescent="0.25">
      <c r="B326" s="55" t="s">
        <v>131</v>
      </c>
      <c r="C326" s="41" t="s">
        <v>3</v>
      </c>
      <c r="D326" s="38" t="s">
        <v>220</v>
      </c>
      <c r="E326" s="24" t="s">
        <v>362</v>
      </c>
      <c r="F326" s="24" t="s">
        <v>355</v>
      </c>
      <c r="G326" s="41" t="s">
        <v>221</v>
      </c>
      <c r="H326" s="64">
        <v>600100</v>
      </c>
      <c r="I326" s="66" t="s">
        <v>103</v>
      </c>
      <c r="J326" s="395">
        <v>42804</v>
      </c>
      <c r="K326" s="340">
        <v>0</v>
      </c>
      <c r="L326" s="408">
        <f t="shared" si="82"/>
        <v>0</v>
      </c>
      <c r="M326" s="110">
        <v>42804</v>
      </c>
    </row>
    <row r="327" spans="2:13" ht="24.75" thickBot="1" x14ac:dyDescent="0.3">
      <c r="B327" s="61" t="s">
        <v>131</v>
      </c>
      <c r="C327" s="42" t="s">
        <v>3</v>
      </c>
      <c r="D327" s="39" t="s">
        <v>220</v>
      </c>
      <c r="E327" s="25" t="s">
        <v>362</v>
      </c>
      <c r="F327" s="25" t="s">
        <v>355</v>
      </c>
      <c r="G327" s="42" t="s">
        <v>221</v>
      </c>
      <c r="H327" s="65">
        <v>600300</v>
      </c>
      <c r="I327" s="67" t="s">
        <v>107</v>
      </c>
      <c r="J327" s="427">
        <v>8133</v>
      </c>
      <c r="K327" s="351">
        <v>0</v>
      </c>
      <c r="L327" s="408">
        <f t="shared" si="82"/>
        <v>0</v>
      </c>
      <c r="M327" s="282">
        <v>8133</v>
      </c>
    </row>
    <row r="328" spans="2:13" ht="15" customHeight="1" thickBot="1" x14ac:dyDescent="0.3">
      <c r="B328" s="548" t="s">
        <v>223</v>
      </c>
      <c r="C328" s="549"/>
      <c r="D328" s="549"/>
      <c r="E328" s="549"/>
      <c r="F328" s="549"/>
      <c r="G328" s="549"/>
      <c r="H328" s="549"/>
      <c r="I328" s="551"/>
      <c r="J328" s="372">
        <f>SUM(J319:J327)</f>
        <v>101998.34</v>
      </c>
      <c r="K328" s="372">
        <f t="shared" ref="K328" si="83">SUM(K319:K327)</f>
        <v>11.28</v>
      </c>
      <c r="L328" s="373">
        <f t="shared" si="82"/>
        <v>1.1059003509272798E-4</v>
      </c>
      <c r="M328" s="284">
        <f>SUM(M319:M327)</f>
        <v>105810.47</v>
      </c>
    </row>
    <row r="329" spans="2:13" ht="36.75" thickBot="1" x14ac:dyDescent="0.3">
      <c r="B329" s="59" t="s">
        <v>131</v>
      </c>
      <c r="C329" s="40" t="s">
        <v>3</v>
      </c>
      <c r="D329" s="576">
        <v>65</v>
      </c>
      <c r="E329" s="22" t="s">
        <v>364</v>
      </c>
      <c r="F329" s="22" t="s">
        <v>363</v>
      </c>
      <c r="G329" s="580" t="s">
        <v>398</v>
      </c>
      <c r="H329" s="567">
        <v>10</v>
      </c>
      <c r="I329" s="209" t="s">
        <v>393</v>
      </c>
      <c r="J329" s="370">
        <f>J311+J287+J266+J258+J240</f>
        <v>990.88000000000011</v>
      </c>
      <c r="K329" s="11">
        <f>1517.57586-K330</f>
        <v>867.7498599999999</v>
      </c>
      <c r="L329" s="428">
        <f t="shared" si="82"/>
        <v>0.87573657758759871</v>
      </c>
      <c r="M329" s="280">
        <f>M311+M287+M266+M258+M240</f>
        <v>870</v>
      </c>
    </row>
    <row r="330" spans="2:13" ht="48.75" thickBot="1" x14ac:dyDescent="0.3">
      <c r="B330" s="59"/>
      <c r="C330" s="40"/>
      <c r="D330" s="577"/>
      <c r="E330" s="22" t="s">
        <v>364</v>
      </c>
      <c r="F330" s="22" t="s">
        <v>363</v>
      </c>
      <c r="G330" s="581"/>
      <c r="H330" s="569"/>
      <c r="I330" s="208" t="s">
        <v>397</v>
      </c>
      <c r="J330" s="11">
        <f>J312+J313+J314</f>
        <v>663.72</v>
      </c>
      <c r="K330" s="11">
        <f>K312+K313+K314</f>
        <v>649.82600000000002</v>
      </c>
      <c r="L330" s="428">
        <f t="shared" si="82"/>
        <v>0.97906647381425904</v>
      </c>
      <c r="M330" s="280">
        <f t="shared" ref="M330" si="84">M312+M313+M314</f>
        <v>630</v>
      </c>
    </row>
    <row r="331" spans="2:13" ht="34.5" customHeight="1" thickBot="1" x14ac:dyDescent="0.3">
      <c r="B331" s="59" t="s">
        <v>131</v>
      </c>
      <c r="C331" s="40" t="s">
        <v>3</v>
      </c>
      <c r="D331" s="577"/>
      <c r="E331" s="22" t="s">
        <v>364</v>
      </c>
      <c r="F331" s="22" t="s">
        <v>363</v>
      </c>
      <c r="G331" s="581"/>
      <c r="H331" s="567">
        <v>20</v>
      </c>
      <c r="I331" s="120" t="s">
        <v>606</v>
      </c>
      <c r="J331" s="370">
        <f>J317+J306+J303+J290+J243+J269+J261</f>
        <v>27210.000000000004</v>
      </c>
      <c r="K331" s="11">
        <f>28080.41533-K332-K333</f>
        <v>23701.507160000001</v>
      </c>
      <c r="L331" s="428">
        <f t="shared" si="82"/>
        <v>0.87105869753766985</v>
      </c>
      <c r="M331" s="280">
        <f t="shared" ref="M331" si="85">M317+M306+M303+M290+M243+M269+M261</f>
        <v>29020</v>
      </c>
    </row>
    <row r="332" spans="2:13" ht="24.75" thickBot="1" x14ac:dyDescent="0.3">
      <c r="B332" s="59" t="s">
        <v>131</v>
      </c>
      <c r="C332" s="40" t="s">
        <v>3</v>
      </c>
      <c r="D332" s="577"/>
      <c r="E332" s="22" t="s">
        <v>364</v>
      </c>
      <c r="F332" s="22" t="s">
        <v>355</v>
      </c>
      <c r="G332" s="581"/>
      <c r="H332" s="568"/>
      <c r="I332" s="120" t="s">
        <v>580</v>
      </c>
      <c r="J332" s="370">
        <f t="shared" ref="J332" si="86">J316+J289+J268+J242</f>
        <v>5150</v>
      </c>
      <c r="K332" s="11">
        <f t="shared" ref="K332" si="87">K316+K289+K268+K242</f>
        <v>4378.9081699999997</v>
      </c>
      <c r="L332" s="428">
        <f t="shared" si="82"/>
        <v>0.85027343106796116</v>
      </c>
      <c r="M332" s="280">
        <f t="shared" ref="M332" si="88">M316+M289+M268+M242</f>
        <v>6000</v>
      </c>
    </row>
    <row r="333" spans="2:13" ht="15.75" thickBot="1" x14ac:dyDescent="0.3">
      <c r="B333" s="59" t="s">
        <v>131</v>
      </c>
      <c r="C333" s="40" t="s">
        <v>3</v>
      </c>
      <c r="D333" s="577"/>
      <c r="E333" s="22" t="s">
        <v>364</v>
      </c>
      <c r="F333" s="22" t="s">
        <v>355</v>
      </c>
      <c r="G333" s="581"/>
      <c r="H333" s="569"/>
      <c r="I333" s="119" t="s">
        <v>396</v>
      </c>
      <c r="J333" s="370">
        <f>J260</f>
        <v>270</v>
      </c>
      <c r="K333" s="11">
        <f t="shared" ref="K333" si="89">K260</f>
        <v>0</v>
      </c>
      <c r="L333" s="428">
        <f t="shared" si="82"/>
        <v>0</v>
      </c>
      <c r="M333" s="280">
        <f>M260</f>
        <v>500</v>
      </c>
    </row>
    <row r="334" spans="2:13" ht="24.75" thickBot="1" x14ac:dyDescent="0.3">
      <c r="B334" s="59"/>
      <c r="C334" s="40"/>
      <c r="D334" s="577"/>
      <c r="E334" s="22" t="s">
        <v>364</v>
      </c>
      <c r="F334" s="22" t="s">
        <v>355</v>
      </c>
      <c r="G334" s="581"/>
      <c r="H334" s="22">
        <v>51</v>
      </c>
      <c r="I334" s="121" t="s">
        <v>498</v>
      </c>
      <c r="J334" s="370">
        <f>J308</f>
        <v>50</v>
      </c>
      <c r="K334" s="11">
        <f t="shared" ref="K334" si="90">K308</f>
        <v>50</v>
      </c>
      <c r="L334" s="428">
        <f t="shared" si="82"/>
        <v>1</v>
      </c>
      <c r="M334" s="280">
        <f>M308</f>
        <v>0</v>
      </c>
    </row>
    <row r="335" spans="2:13" ht="36.75" thickBot="1" x14ac:dyDescent="0.3">
      <c r="B335" s="59" t="s">
        <v>131</v>
      </c>
      <c r="C335" s="40" t="s">
        <v>3</v>
      </c>
      <c r="D335" s="577"/>
      <c r="E335" s="22" t="s">
        <v>364</v>
      </c>
      <c r="F335" s="22" t="s">
        <v>355</v>
      </c>
      <c r="G335" s="581"/>
      <c r="H335" s="22">
        <v>55</v>
      </c>
      <c r="I335" s="121" t="s">
        <v>189</v>
      </c>
      <c r="J335" s="370">
        <f>J291+J270+J244+J323</f>
        <v>19222.239999999998</v>
      </c>
      <c r="K335" s="370">
        <f>K291+K270+K244+K323</f>
        <v>15798.196029999999</v>
      </c>
      <c r="L335" s="428">
        <f t="shared" si="82"/>
        <v>0.82187070965714715</v>
      </c>
      <c r="M335" s="280">
        <f>M291+M270+M244+M323+M320</f>
        <v>23529.75</v>
      </c>
    </row>
    <row r="336" spans="2:13" ht="24.75" thickBot="1" x14ac:dyDescent="0.3">
      <c r="B336" s="59"/>
      <c r="C336" s="40"/>
      <c r="D336" s="577"/>
      <c r="E336" s="22"/>
      <c r="F336" s="22"/>
      <c r="G336" s="581"/>
      <c r="H336" s="303">
        <v>56</v>
      </c>
      <c r="I336" s="124" t="s">
        <v>591</v>
      </c>
      <c r="J336" s="370">
        <f>J272</f>
        <v>0</v>
      </c>
      <c r="K336" s="370">
        <f t="shared" ref="K336:M336" si="91">K272</f>
        <v>0</v>
      </c>
      <c r="L336" s="428">
        <v>0</v>
      </c>
      <c r="M336" s="280">
        <f t="shared" si="91"/>
        <v>2608</v>
      </c>
    </row>
    <row r="337" spans="2:13" ht="15.75" thickBot="1" x14ac:dyDescent="0.3">
      <c r="B337" s="59" t="s">
        <v>131</v>
      </c>
      <c r="C337" s="40" t="s">
        <v>3</v>
      </c>
      <c r="D337" s="577"/>
      <c r="E337" s="22" t="s">
        <v>364</v>
      </c>
      <c r="F337" s="22" t="s">
        <v>355</v>
      </c>
      <c r="G337" s="581"/>
      <c r="H337" s="567">
        <v>57</v>
      </c>
      <c r="I337" s="124" t="s">
        <v>150</v>
      </c>
      <c r="J337" s="370">
        <f>J304+J292+J271+J262+J245+J319</f>
        <v>3530.0199999999995</v>
      </c>
      <c r="K337" s="370">
        <f>2932.71246-K338</f>
        <v>2921.43246</v>
      </c>
      <c r="L337" s="428">
        <f t="shared" si="82"/>
        <v>0.8275965745236572</v>
      </c>
      <c r="M337" s="280">
        <f>M304+M292+M271+M262+M245+M319</f>
        <v>3734</v>
      </c>
    </row>
    <row r="338" spans="2:13" ht="36.75" thickBot="1" x14ac:dyDescent="0.3">
      <c r="B338" s="59" t="s">
        <v>131</v>
      </c>
      <c r="C338" s="40" t="s">
        <v>3</v>
      </c>
      <c r="D338" s="577"/>
      <c r="E338" s="22" t="s">
        <v>364</v>
      </c>
      <c r="F338" s="22"/>
      <c r="G338" s="581"/>
      <c r="H338" s="569"/>
      <c r="I338" s="123" t="str">
        <f>I322</f>
        <v>Tichete de cresa si tichete sociale pentru gradinita - ASSC</v>
      </c>
      <c r="J338" s="370">
        <f>J322+J321</f>
        <v>24.34</v>
      </c>
      <c r="K338" s="370">
        <f t="shared" ref="K338" si="92">K322+K321</f>
        <v>11.28</v>
      </c>
      <c r="L338" s="428">
        <f t="shared" si="82"/>
        <v>0.46343467543138861</v>
      </c>
      <c r="M338" s="280">
        <f>M322+M321</f>
        <v>46.52</v>
      </c>
    </row>
    <row r="339" spans="2:13" ht="48.75" thickBot="1" x14ac:dyDescent="0.3">
      <c r="B339" s="59" t="s">
        <v>131</v>
      </c>
      <c r="C339" s="40" t="s">
        <v>3</v>
      </c>
      <c r="D339" s="576"/>
      <c r="E339" s="22" t="s">
        <v>362</v>
      </c>
      <c r="F339" s="22"/>
      <c r="G339" s="581"/>
      <c r="H339" s="22">
        <v>58</v>
      </c>
      <c r="I339" s="309" t="s">
        <v>399</v>
      </c>
      <c r="J339" s="370">
        <f>J246+J247+J248</f>
        <v>792</v>
      </c>
      <c r="K339" s="11">
        <f t="shared" ref="K339" si="93">K246+K247+K248</f>
        <v>481.32091000000003</v>
      </c>
      <c r="L339" s="428">
        <f t="shared" si="82"/>
        <v>0.60772842171717179</v>
      </c>
      <c r="M339" s="280">
        <f>M324</f>
        <v>0</v>
      </c>
    </row>
    <row r="340" spans="2:13" ht="49.5" thickBot="1" x14ac:dyDescent="0.3">
      <c r="B340" s="59" t="s">
        <v>131</v>
      </c>
      <c r="C340" s="40" t="s">
        <v>3</v>
      </c>
      <c r="D340" s="577"/>
      <c r="E340" s="22" t="s">
        <v>362</v>
      </c>
      <c r="F340" s="22"/>
      <c r="G340" s="581"/>
      <c r="H340" s="22">
        <v>60</v>
      </c>
      <c r="I340" s="310" t="s">
        <v>400</v>
      </c>
      <c r="J340" s="370">
        <f>J325+J249+J250</f>
        <v>61220</v>
      </c>
      <c r="K340" s="11">
        <f t="shared" ref="K340" si="94">K326+K327+K249+K250</f>
        <v>9578.6168500000003</v>
      </c>
      <c r="L340" s="428">
        <f t="shared" si="82"/>
        <v>0.15646221577915714</v>
      </c>
      <c r="M340" s="280">
        <f>M325+M249+M250</f>
        <v>50937</v>
      </c>
    </row>
    <row r="341" spans="2:13" ht="36.75" thickBot="1" x14ac:dyDescent="0.3">
      <c r="B341" s="59" t="s">
        <v>131</v>
      </c>
      <c r="C341" s="40" t="s">
        <v>3</v>
      </c>
      <c r="D341" s="577"/>
      <c r="E341" s="22" t="s">
        <v>362</v>
      </c>
      <c r="F341" s="22"/>
      <c r="G341" s="581"/>
      <c r="H341" s="22">
        <v>61</v>
      </c>
      <c r="I341" s="126" t="s">
        <v>373</v>
      </c>
      <c r="J341" s="370">
        <f>J295+J294+J293+J275</f>
        <v>8704</v>
      </c>
      <c r="K341" s="11">
        <f t="shared" ref="K341" si="95">K295+K294+K293+K275</f>
        <v>695.68164999999999</v>
      </c>
      <c r="L341" s="428">
        <f t="shared" si="82"/>
        <v>7.9926660156249996E-2</v>
      </c>
      <c r="M341" s="280">
        <f>M295+M294+M293+M275</f>
        <v>15027</v>
      </c>
    </row>
    <row r="342" spans="2:13" ht="26.25" customHeight="1" thickBot="1" x14ac:dyDescent="0.3">
      <c r="B342" s="59" t="s">
        <v>131</v>
      </c>
      <c r="C342" s="40" t="s">
        <v>3</v>
      </c>
      <c r="D342" s="577"/>
      <c r="E342" s="22" t="s">
        <v>362</v>
      </c>
      <c r="F342" s="22" t="s">
        <v>355</v>
      </c>
      <c r="G342" s="581"/>
      <c r="H342" s="567">
        <v>71</v>
      </c>
      <c r="I342" s="122" t="s">
        <v>401</v>
      </c>
      <c r="J342" s="370">
        <f>J298+J281+J252</f>
        <v>10017.24</v>
      </c>
      <c r="K342" s="11">
        <f>K298+K281+K252</f>
        <v>5350.9702600000001</v>
      </c>
      <c r="L342" s="428">
        <f t="shared" si="82"/>
        <v>0.53417610639257918</v>
      </c>
      <c r="M342" s="280">
        <f>M298+M281+M252</f>
        <v>8884.5</v>
      </c>
    </row>
    <row r="343" spans="2:13" ht="24.75" thickBot="1" x14ac:dyDescent="0.3">
      <c r="B343" s="59" t="s">
        <v>131</v>
      </c>
      <c r="C343" s="40" t="s">
        <v>3</v>
      </c>
      <c r="D343" s="578"/>
      <c r="E343" s="22" t="s">
        <v>362</v>
      </c>
      <c r="F343" s="22" t="s">
        <v>363</v>
      </c>
      <c r="G343" s="581"/>
      <c r="H343" s="569"/>
      <c r="I343" s="123" t="s">
        <v>402</v>
      </c>
      <c r="J343" s="370">
        <f>J299+J296+J284+J283+J279+J254+J255+0</f>
        <v>500</v>
      </c>
      <c r="K343" s="370">
        <f>5764.43459-K342</f>
        <v>413.46432999999979</v>
      </c>
      <c r="L343" s="428">
        <f t="shared" si="82"/>
        <v>0.82692865999999954</v>
      </c>
      <c r="M343" s="280">
        <f>M299+M282+M253</f>
        <v>717</v>
      </c>
    </row>
    <row r="344" spans="2:13" ht="48.75" thickBot="1" x14ac:dyDescent="0.3">
      <c r="B344" s="59" t="s">
        <v>131</v>
      </c>
      <c r="C344" s="59" t="s">
        <v>3</v>
      </c>
      <c r="D344" s="577"/>
      <c r="E344" s="22" t="s">
        <v>364</v>
      </c>
      <c r="F344" s="22" t="s">
        <v>355</v>
      </c>
      <c r="G344" s="581"/>
      <c r="H344" s="189">
        <v>850101</v>
      </c>
      <c r="I344" s="162" t="s">
        <v>500</v>
      </c>
      <c r="J344" s="370">
        <f>J300+J263+J285+J256</f>
        <v>-19.22</v>
      </c>
      <c r="K344" s="370">
        <f>K300+K263+K285+K256</f>
        <v>-35.224469999999997</v>
      </c>
      <c r="L344" s="428">
        <f t="shared" si="82"/>
        <v>1.8326987513007282</v>
      </c>
      <c r="M344" s="280">
        <f>M300+M263+M285+M256</f>
        <v>0</v>
      </c>
    </row>
    <row r="345" spans="2:13" ht="48.75" thickBot="1" x14ac:dyDescent="0.3">
      <c r="B345" s="89" t="s">
        <v>131</v>
      </c>
      <c r="C345" s="163" t="s">
        <v>3</v>
      </c>
      <c r="D345" s="579"/>
      <c r="E345" s="247" t="s">
        <v>362</v>
      </c>
      <c r="F345" s="22" t="s">
        <v>355</v>
      </c>
      <c r="G345" s="582"/>
      <c r="H345" s="22">
        <v>850102</v>
      </c>
      <c r="I345" s="127" t="s">
        <v>499</v>
      </c>
      <c r="J345" s="370">
        <f>J264</f>
        <v>0</v>
      </c>
      <c r="K345" s="370">
        <f>K264+K301</f>
        <v>-2.4289999999999999E-2</v>
      </c>
      <c r="L345" s="428">
        <v>0</v>
      </c>
      <c r="M345" s="280">
        <f>M264</f>
        <v>0</v>
      </c>
    </row>
    <row r="346" spans="2:13" ht="16.5" thickBot="1" x14ac:dyDescent="0.3">
      <c r="B346" s="157" t="s">
        <v>131</v>
      </c>
      <c r="C346" s="164" t="s">
        <v>3</v>
      </c>
      <c r="D346" s="512"/>
      <c r="E346" s="158" t="s">
        <v>364</v>
      </c>
      <c r="F346" s="571" t="s">
        <v>482</v>
      </c>
      <c r="G346" s="571"/>
      <c r="H346" s="571"/>
      <c r="I346" s="571"/>
      <c r="J346" s="382">
        <f>J329+J330+J331+J332+J333+J334+J335+J337+J338+J344</f>
        <v>57091.979999999996</v>
      </c>
      <c r="K346" s="382">
        <f>K329+K330+K331+K332+K333+K334+K335+K337+K338+K344</f>
        <v>48343.675210000001</v>
      </c>
      <c r="L346" s="383">
        <f t="shared" ref="L346:L355" si="96">K346/J346</f>
        <v>0.84676823627416675</v>
      </c>
      <c r="M346" s="288">
        <f t="shared" ref="M346" si="97">M329+M330+M331+M332+M333+M334+M335+M337+M338+M344</f>
        <v>64330.27</v>
      </c>
    </row>
    <row r="347" spans="2:13" ht="16.5" thickBot="1" x14ac:dyDescent="0.3">
      <c r="B347" s="165" t="s">
        <v>131</v>
      </c>
      <c r="C347" s="157" t="s">
        <v>3</v>
      </c>
      <c r="D347" s="513"/>
      <c r="E347" s="158" t="s">
        <v>362</v>
      </c>
      <c r="F347" s="571" t="s">
        <v>483</v>
      </c>
      <c r="G347" s="571"/>
      <c r="H347" s="571"/>
      <c r="I347" s="571"/>
      <c r="J347" s="382">
        <f>J339+J340+J341+J342+J343+J345+J336</f>
        <v>81233.240000000005</v>
      </c>
      <c r="K347" s="382">
        <f>K339+K340+K341+K342+K343+K345</f>
        <v>16520.029709999999</v>
      </c>
      <c r="L347" s="383">
        <f t="shared" si="96"/>
        <v>0.20336539217197291</v>
      </c>
      <c r="M347" s="288">
        <f>M339+M340+M341+M342+M343+M345+M336</f>
        <v>78173.5</v>
      </c>
    </row>
    <row r="348" spans="2:13" s="78" customFormat="1" ht="15" customHeight="1" thickBot="1" x14ac:dyDescent="0.35">
      <c r="B348" s="545" t="s">
        <v>318</v>
      </c>
      <c r="C348" s="546"/>
      <c r="D348" s="546"/>
      <c r="E348" s="546"/>
      <c r="F348" s="546"/>
      <c r="G348" s="546"/>
      <c r="H348" s="546"/>
      <c r="I348" s="547"/>
      <c r="J348" s="406">
        <f>SUM(J329:J345)</f>
        <v>138325.22</v>
      </c>
      <c r="K348" s="368">
        <f>SUM(K329:K345)</f>
        <v>64863.704920000004</v>
      </c>
      <c r="L348" s="369">
        <f t="shared" si="96"/>
        <v>0.46892175497714733</v>
      </c>
      <c r="M348" s="285">
        <f>M346+M347</f>
        <v>142503.76999999999</v>
      </c>
    </row>
    <row r="349" spans="2:13" ht="36" x14ac:dyDescent="0.25">
      <c r="B349" s="92" t="s">
        <v>131</v>
      </c>
      <c r="C349" s="40" t="s">
        <v>3</v>
      </c>
      <c r="D349" s="57" t="s">
        <v>224</v>
      </c>
      <c r="E349" s="34" t="s">
        <v>364</v>
      </c>
      <c r="F349" s="34" t="s">
        <v>355</v>
      </c>
      <c r="G349" s="40" t="s">
        <v>225</v>
      </c>
      <c r="H349" s="57" t="s">
        <v>226</v>
      </c>
      <c r="I349" s="40" t="s">
        <v>227</v>
      </c>
      <c r="J349" s="407">
        <v>800</v>
      </c>
      <c r="K349" s="402">
        <v>799.18700000000001</v>
      </c>
      <c r="L349" s="390">
        <f t="shared" si="96"/>
        <v>0.99898375000000006</v>
      </c>
      <c r="M349" s="111">
        <v>600</v>
      </c>
    </row>
    <row r="350" spans="2:13" ht="36" x14ac:dyDescent="0.25">
      <c r="B350" s="55" t="s">
        <v>131</v>
      </c>
      <c r="C350" s="41" t="s">
        <v>3</v>
      </c>
      <c r="D350" s="38" t="s">
        <v>224</v>
      </c>
      <c r="E350" s="24" t="s">
        <v>362</v>
      </c>
      <c r="F350" s="24" t="s">
        <v>355</v>
      </c>
      <c r="G350" s="41" t="s">
        <v>225</v>
      </c>
      <c r="H350" s="38" t="s">
        <v>228</v>
      </c>
      <c r="I350" s="41" t="s">
        <v>229</v>
      </c>
      <c r="J350" s="361">
        <v>361</v>
      </c>
      <c r="K350" s="409">
        <v>360.75</v>
      </c>
      <c r="L350" s="393">
        <f t="shared" si="96"/>
        <v>0.99930747922437668</v>
      </c>
      <c r="M350" s="275">
        <v>0</v>
      </c>
    </row>
    <row r="351" spans="2:13" x14ac:dyDescent="0.25">
      <c r="B351" s="55" t="s">
        <v>131</v>
      </c>
      <c r="C351" s="41" t="s">
        <v>3</v>
      </c>
      <c r="D351" s="38" t="s">
        <v>224</v>
      </c>
      <c r="E351" s="24" t="s">
        <v>362</v>
      </c>
      <c r="F351" s="24" t="s">
        <v>355</v>
      </c>
      <c r="G351" s="41" t="s">
        <v>225</v>
      </c>
      <c r="H351" s="38" t="s">
        <v>230</v>
      </c>
      <c r="I351" s="41" t="s">
        <v>103</v>
      </c>
      <c r="J351" s="361">
        <v>33821</v>
      </c>
      <c r="K351" s="409">
        <v>10734.276</v>
      </c>
      <c r="L351" s="393">
        <f t="shared" si="96"/>
        <v>0.31738493835191151</v>
      </c>
      <c r="M351" s="275">
        <v>27580</v>
      </c>
    </row>
    <row r="352" spans="2:13" x14ac:dyDescent="0.25">
      <c r="B352" s="55" t="s">
        <v>131</v>
      </c>
      <c r="C352" s="41" t="s">
        <v>3</v>
      </c>
      <c r="D352" s="38" t="s">
        <v>224</v>
      </c>
      <c r="E352" s="24" t="s">
        <v>362</v>
      </c>
      <c r="F352" s="24" t="s">
        <v>355</v>
      </c>
      <c r="G352" s="41" t="s">
        <v>225</v>
      </c>
      <c r="H352" s="38" t="s">
        <v>231</v>
      </c>
      <c r="I352" s="41" t="s">
        <v>107</v>
      </c>
      <c r="J352" s="361">
        <v>6426</v>
      </c>
      <c r="K352" s="409">
        <v>2039.51244</v>
      </c>
      <c r="L352" s="393">
        <f t="shared" si="96"/>
        <v>0.31738444444444441</v>
      </c>
      <c r="M352" s="275">
        <v>5239</v>
      </c>
    </row>
    <row r="353" spans="2:13" ht="15.75" thickBot="1" x14ac:dyDescent="0.3">
      <c r="B353" s="56" t="s">
        <v>131</v>
      </c>
      <c r="C353" s="42" t="s">
        <v>3</v>
      </c>
      <c r="D353" s="69" t="s">
        <v>224</v>
      </c>
      <c r="E353" s="25" t="s">
        <v>362</v>
      </c>
      <c r="F353" s="25" t="s">
        <v>355</v>
      </c>
      <c r="G353" s="42" t="s">
        <v>225</v>
      </c>
      <c r="H353" s="304" t="s">
        <v>158</v>
      </c>
      <c r="I353" s="305" t="s">
        <v>159</v>
      </c>
      <c r="J353" s="429">
        <v>653.87</v>
      </c>
      <c r="K353" s="403">
        <v>515.86625000000004</v>
      </c>
      <c r="L353" s="393">
        <f t="shared" si="96"/>
        <v>0.78894313854435905</v>
      </c>
      <c r="M353" s="277">
        <v>2357</v>
      </c>
    </row>
    <row r="354" spans="2:13" ht="15" customHeight="1" thickBot="1" x14ac:dyDescent="0.3">
      <c r="B354" s="548" t="s">
        <v>232</v>
      </c>
      <c r="C354" s="549"/>
      <c r="D354" s="549"/>
      <c r="E354" s="549"/>
      <c r="F354" s="549"/>
      <c r="G354" s="549"/>
      <c r="H354" s="549"/>
      <c r="I354" s="551"/>
      <c r="J354" s="372">
        <f>SUM(J349:J353)</f>
        <v>42061.87</v>
      </c>
      <c r="K354" s="372">
        <f t="shared" ref="K354" si="98">SUM(K349:K353)</f>
        <v>14449.591690000001</v>
      </c>
      <c r="L354" s="373">
        <f t="shared" si="96"/>
        <v>0.34353184225998512</v>
      </c>
      <c r="M354" s="284">
        <f t="shared" ref="M354" si="99">SUM(M349:M353)</f>
        <v>35776</v>
      </c>
    </row>
    <row r="355" spans="2:13" ht="43.5" customHeight="1" x14ac:dyDescent="0.25">
      <c r="B355" s="60" t="s">
        <v>131</v>
      </c>
      <c r="C355" s="40" t="s">
        <v>3</v>
      </c>
      <c r="D355" s="37" t="s">
        <v>233</v>
      </c>
      <c r="E355" s="34" t="s">
        <v>364</v>
      </c>
      <c r="F355" s="37" t="s">
        <v>363</v>
      </c>
      <c r="G355" s="40" t="s">
        <v>234</v>
      </c>
      <c r="H355" s="109"/>
      <c r="I355" s="218" t="s">
        <v>603</v>
      </c>
      <c r="J355" s="430">
        <f>14870+240+185+20</f>
        <v>15315</v>
      </c>
      <c r="K355" s="431">
        <f>14866.795+174.28+184.3+17.42</f>
        <v>15242.795</v>
      </c>
      <c r="L355" s="390">
        <f t="shared" si="96"/>
        <v>0.99528534116878875</v>
      </c>
      <c r="M355" s="111">
        <v>17740</v>
      </c>
    </row>
    <row r="356" spans="2:13" ht="48.75" thickBot="1" x14ac:dyDescent="0.3">
      <c r="B356" s="55" t="s">
        <v>131</v>
      </c>
      <c r="C356" s="41" t="s">
        <v>3</v>
      </c>
      <c r="D356" s="38" t="s">
        <v>233</v>
      </c>
      <c r="E356" s="24" t="s">
        <v>364</v>
      </c>
      <c r="F356" s="38" t="s">
        <v>363</v>
      </c>
      <c r="G356" s="41" t="s">
        <v>234</v>
      </c>
      <c r="H356" s="58">
        <v>850101</v>
      </c>
      <c r="I356" s="108" t="s">
        <v>374</v>
      </c>
      <c r="J356" s="363">
        <v>-5.51</v>
      </c>
      <c r="K356" s="432">
        <v>-5.5124599999999999</v>
      </c>
      <c r="L356" s="393">
        <f t="shared" ref="L356:L381" si="100">K356/J356</f>
        <v>1.0004464609800363</v>
      </c>
      <c r="M356" s="266"/>
    </row>
    <row r="357" spans="2:13" ht="15" customHeight="1" thickBot="1" x14ac:dyDescent="0.3">
      <c r="B357" s="548" t="s">
        <v>235</v>
      </c>
      <c r="C357" s="549"/>
      <c r="D357" s="549"/>
      <c r="E357" s="549"/>
      <c r="F357" s="549"/>
      <c r="G357" s="549"/>
      <c r="H357" s="549"/>
      <c r="I357" s="550"/>
      <c r="J357" s="372">
        <f>J355+J356</f>
        <v>15309.49</v>
      </c>
      <c r="K357" s="372">
        <f>K355+K356</f>
        <v>15237.28254</v>
      </c>
      <c r="L357" s="373">
        <f t="shared" si="100"/>
        <v>0.99528348364315211</v>
      </c>
      <c r="M357" s="284">
        <f>M355+M356</f>
        <v>17740</v>
      </c>
    </row>
    <row r="358" spans="2:13" ht="24" customHeight="1" thickBot="1" x14ac:dyDescent="0.3">
      <c r="B358" s="55" t="s">
        <v>131</v>
      </c>
      <c r="C358" s="41" t="s">
        <v>3</v>
      </c>
      <c r="D358" s="572">
        <v>66</v>
      </c>
      <c r="E358" s="152" t="s">
        <v>364</v>
      </c>
      <c r="F358" s="145"/>
      <c r="G358" s="572" t="s">
        <v>460</v>
      </c>
      <c r="H358" s="152"/>
      <c r="I358" s="218" t="s">
        <v>603</v>
      </c>
      <c r="J358" s="433">
        <f>J355</f>
        <v>15315</v>
      </c>
      <c r="K358" s="370">
        <f>K355</f>
        <v>15242.795</v>
      </c>
      <c r="L358" s="379">
        <f t="shared" si="100"/>
        <v>0.99528534116878875</v>
      </c>
      <c r="M358" s="474">
        <f>M355</f>
        <v>17740</v>
      </c>
    </row>
    <row r="359" spans="2:13" ht="15" customHeight="1" thickBot="1" x14ac:dyDescent="0.3">
      <c r="B359" s="55" t="s">
        <v>131</v>
      </c>
      <c r="C359" s="41" t="s">
        <v>3</v>
      </c>
      <c r="D359" s="573"/>
      <c r="E359" s="152" t="s">
        <v>364</v>
      </c>
      <c r="F359" s="145"/>
      <c r="G359" s="573"/>
      <c r="H359" s="152">
        <v>51</v>
      </c>
      <c r="I359" s="211" t="s">
        <v>464</v>
      </c>
      <c r="J359" s="433">
        <f>J349</f>
        <v>800</v>
      </c>
      <c r="K359" s="370">
        <f>K349</f>
        <v>799.18700000000001</v>
      </c>
      <c r="L359" s="379">
        <f t="shared" si="100"/>
        <v>0.99898375000000006</v>
      </c>
      <c r="M359" s="474">
        <f>M349</f>
        <v>600</v>
      </c>
    </row>
    <row r="360" spans="2:13" ht="15" customHeight="1" thickBot="1" x14ac:dyDescent="0.3">
      <c r="B360" s="55"/>
      <c r="C360" s="41" t="s">
        <v>3</v>
      </c>
      <c r="D360" s="573"/>
      <c r="E360" s="152" t="s">
        <v>362</v>
      </c>
      <c r="F360" s="145" t="s">
        <v>355</v>
      </c>
      <c r="G360" s="573"/>
      <c r="H360" s="152">
        <v>51</v>
      </c>
      <c r="I360" s="211" t="s">
        <v>465</v>
      </c>
      <c r="J360" s="433">
        <f>J350</f>
        <v>361</v>
      </c>
      <c r="K360" s="370">
        <f>K350</f>
        <v>360.75</v>
      </c>
      <c r="L360" s="379">
        <f t="shared" si="100"/>
        <v>0.99930747922437668</v>
      </c>
      <c r="M360" s="474">
        <f>M350</f>
        <v>0</v>
      </c>
    </row>
    <row r="361" spans="2:13" ht="48.75" thickBot="1" x14ac:dyDescent="0.3">
      <c r="B361" s="55" t="s">
        <v>131</v>
      </c>
      <c r="C361" s="41" t="s">
        <v>3</v>
      </c>
      <c r="D361" s="573"/>
      <c r="E361" s="152" t="s">
        <v>362</v>
      </c>
      <c r="F361" s="152" t="s">
        <v>355</v>
      </c>
      <c r="G361" s="573"/>
      <c r="H361" s="152">
        <v>60</v>
      </c>
      <c r="I361" s="196" t="s">
        <v>348</v>
      </c>
      <c r="J361" s="433">
        <f>J351+J352</f>
        <v>40247</v>
      </c>
      <c r="K361" s="433">
        <f>K351+K352</f>
        <v>12773.78844</v>
      </c>
      <c r="L361" s="379">
        <f t="shared" si="100"/>
        <v>0.31738485949263301</v>
      </c>
      <c r="M361" s="474">
        <f>M351+M352</f>
        <v>32819</v>
      </c>
    </row>
    <row r="362" spans="2:13" ht="15.75" thickBot="1" x14ac:dyDescent="0.3">
      <c r="B362" s="55" t="s">
        <v>131</v>
      </c>
      <c r="C362" s="41" t="s">
        <v>3</v>
      </c>
      <c r="D362" s="573"/>
      <c r="E362" s="152" t="s">
        <v>362</v>
      </c>
      <c r="F362" s="145" t="s">
        <v>355</v>
      </c>
      <c r="G362" s="573"/>
      <c r="H362" s="152">
        <v>71</v>
      </c>
      <c r="I362" s="217" t="s">
        <v>444</v>
      </c>
      <c r="J362" s="433">
        <f>J353</f>
        <v>653.87</v>
      </c>
      <c r="K362" s="433">
        <f>K353</f>
        <v>515.86625000000004</v>
      </c>
      <c r="L362" s="379">
        <f t="shared" si="100"/>
        <v>0.78894313854435905</v>
      </c>
      <c r="M362" s="474">
        <f>M353</f>
        <v>2357</v>
      </c>
    </row>
    <row r="363" spans="2:13" ht="39" customHeight="1" thickBot="1" x14ac:dyDescent="0.3">
      <c r="B363" s="61" t="s">
        <v>131</v>
      </c>
      <c r="C363" s="87" t="s">
        <v>3</v>
      </c>
      <c r="D363" s="573"/>
      <c r="E363" s="152" t="s">
        <v>364</v>
      </c>
      <c r="F363" s="145"/>
      <c r="G363" s="574"/>
      <c r="H363" s="152">
        <f>H356</f>
        <v>850101</v>
      </c>
      <c r="I363" s="217" t="str">
        <f>I356</f>
        <v>Plati efectuate în anii precedenti si recuperate în anul curent în sectiunea de funcționare a bugetului local</v>
      </c>
      <c r="J363" s="434">
        <f>J356</f>
        <v>-5.51</v>
      </c>
      <c r="K363" s="433">
        <f>K356</f>
        <v>-5.5124599999999999</v>
      </c>
      <c r="L363" s="379">
        <f t="shared" si="100"/>
        <v>1.0004464609800363</v>
      </c>
      <c r="M363" s="474">
        <f>M356</f>
        <v>0</v>
      </c>
    </row>
    <row r="364" spans="2:13" ht="16.5" thickBot="1" x14ac:dyDescent="0.3">
      <c r="B364" s="166" t="s">
        <v>131</v>
      </c>
      <c r="C364" s="167" t="s">
        <v>3</v>
      </c>
      <c r="D364" s="573"/>
      <c r="E364" s="158" t="s">
        <v>364</v>
      </c>
      <c r="F364" s="571" t="s">
        <v>480</v>
      </c>
      <c r="G364" s="571"/>
      <c r="H364" s="571"/>
      <c r="I364" s="571"/>
      <c r="J364" s="382">
        <f>J358+J359+J363</f>
        <v>16109.49</v>
      </c>
      <c r="K364" s="382">
        <f>K358+K359+K363</f>
        <v>16036.46954</v>
      </c>
      <c r="L364" s="383">
        <f t="shared" si="100"/>
        <v>0.995467239496719</v>
      </c>
      <c r="M364" s="288">
        <f>M358+M359</f>
        <v>18340</v>
      </c>
    </row>
    <row r="365" spans="2:13" ht="16.5" thickBot="1" x14ac:dyDescent="0.3">
      <c r="B365" s="168" t="s">
        <v>131</v>
      </c>
      <c r="C365" s="73" t="s">
        <v>3</v>
      </c>
      <c r="D365" s="574"/>
      <c r="E365" s="158" t="s">
        <v>362</v>
      </c>
      <c r="F365" s="571" t="s">
        <v>481</v>
      </c>
      <c r="G365" s="571"/>
      <c r="H365" s="571"/>
      <c r="I365" s="571"/>
      <c r="J365" s="382">
        <f>J361+J362+J360</f>
        <v>41261.870000000003</v>
      </c>
      <c r="K365" s="382">
        <f>K361+K362+K360</f>
        <v>13650.404689999999</v>
      </c>
      <c r="L365" s="383">
        <f t="shared" si="100"/>
        <v>0.33082370454853349</v>
      </c>
      <c r="M365" s="288">
        <f>M361+M362+M360</f>
        <v>35176</v>
      </c>
    </row>
    <row r="366" spans="2:13" s="78" customFormat="1" ht="15" customHeight="1" thickBot="1" x14ac:dyDescent="0.35">
      <c r="B366" s="575" t="s">
        <v>319</v>
      </c>
      <c r="C366" s="575"/>
      <c r="D366" s="575"/>
      <c r="E366" s="575"/>
      <c r="F366" s="575"/>
      <c r="G366" s="575"/>
      <c r="H366" s="575"/>
      <c r="I366" s="575"/>
      <c r="J366" s="368">
        <f>SUM(J358:J363)</f>
        <v>57371.360000000001</v>
      </c>
      <c r="K366" s="406">
        <f>SUM(K358:K363)</f>
        <v>29686.874229999998</v>
      </c>
      <c r="L366" s="369">
        <f t="shared" si="100"/>
        <v>0.51745111550432132</v>
      </c>
      <c r="M366" s="285">
        <f>M364+M365</f>
        <v>53516</v>
      </c>
    </row>
    <row r="367" spans="2:13" ht="36" x14ac:dyDescent="0.25">
      <c r="B367" s="60" t="s">
        <v>131</v>
      </c>
      <c r="C367" s="79" t="s">
        <v>3</v>
      </c>
      <c r="D367" s="37" t="s">
        <v>236</v>
      </c>
      <c r="E367" s="34" t="s">
        <v>364</v>
      </c>
      <c r="F367" s="34" t="s">
        <v>355</v>
      </c>
      <c r="G367" s="79" t="s">
        <v>237</v>
      </c>
      <c r="H367" s="37" t="s">
        <v>238</v>
      </c>
      <c r="I367" s="137" t="s">
        <v>422</v>
      </c>
      <c r="J367" s="415">
        <f>J368+J369</f>
        <v>42381.21</v>
      </c>
      <c r="K367" s="435">
        <f>K368+K369</f>
        <v>41646.68823</v>
      </c>
      <c r="L367" s="375">
        <f t="shared" si="100"/>
        <v>0.98266869280041791</v>
      </c>
      <c r="M367" s="276">
        <f>M368+M369</f>
        <v>41771.550000000003</v>
      </c>
    </row>
    <row r="368" spans="2:13" ht="24" x14ac:dyDescent="0.25">
      <c r="B368" s="60" t="s">
        <v>131</v>
      </c>
      <c r="C368" s="79" t="s">
        <v>3</v>
      </c>
      <c r="D368" s="37" t="s">
        <v>236</v>
      </c>
      <c r="E368" s="23" t="s">
        <v>364</v>
      </c>
      <c r="F368" s="23" t="s">
        <v>355</v>
      </c>
      <c r="G368" s="79" t="s">
        <v>237</v>
      </c>
      <c r="H368" s="37"/>
      <c r="I368" s="79" t="s">
        <v>420</v>
      </c>
      <c r="J368" s="418">
        <v>19875</v>
      </c>
      <c r="K368" s="374">
        <v>19693.923999999999</v>
      </c>
      <c r="L368" s="375">
        <f t="shared" si="100"/>
        <v>0.99088925786163518</v>
      </c>
      <c r="M368" s="287">
        <v>19694.04</v>
      </c>
    </row>
    <row r="369" spans="2:13" ht="24" x14ac:dyDescent="0.25">
      <c r="B369" s="60" t="s">
        <v>131</v>
      </c>
      <c r="C369" s="79" t="s">
        <v>3</v>
      </c>
      <c r="D369" s="37" t="s">
        <v>236</v>
      </c>
      <c r="E369" s="23" t="s">
        <v>364</v>
      </c>
      <c r="F369" s="23" t="s">
        <v>355</v>
      </c>
      <c r="G369" s="79" t="s">
        <v>237</v>
      </c>
      <c r="H369" s="37"/>
      <c r="I369" s="79" t="s">
        <v>421</v>
      </c>
      <c r="J369" s="418">
        <v>22506.21</v>
      </c>
      <c r="K369" s="374">
        <v>21952.764230000001</v>
      </c>
      <c r="L369" s="375">
        <f t="shared" si="100"/>
        <v>0.97540919728377196</v>
      </c>
      <c r="M369" s="287">
        <v>22077.51</v>
      </c>
    </row>
    <row r="370" spans="2:13" ht="36" x14ac:dyDescent="0.25">
      <c r="B370" s="60" t="s">
        <v>131</v>
      </c>
      <c r="C370" s="79" t="s">
        <v>3</v>
      </c>
      <c r="D370" s="37" t="s">
        <v>236</v>
      </c>
      <c r="E370" s="24" t="s">
        <v>362</v>
      </c>
      <c r="F370" s="24" t="s">
        <v>355</v>
      </c>
      <c r="G370" s="79" t="s">
        <v>237</v>
      </c>
      <c r="H370" s="38" t="s">
        <v>239</v>
      </c>
      <c r="I370" s="83" t="s">
        <v>423</v>
      </c>
      <c r="J370" s="362">
        <f>J371+J372</f>
        <v>639</v>
      </c>
      <c r="K370" s="436">
        <f t="shared" ref="K370" si="101">K371+K372</f>
        <v>332.07411999999999</v>
      </c>
      <c r="L370" s="375">
        <f t="shared" si="100"/>
        <v>0.51967780907668226</v>
      </c>
      <c r="M370" s="112">
        <f>M371+M372</f>
        <v>268</v>
      </c>
    </row>
    <row r="371" spans="2:13" ht="24" x14ac:dyDescent="0.25">
      <c r="B371" s="60" t="s">
        <v>131</v>
      </c>
      <c r="C371" s="79" t="s">
        <v>3</v>
      </c>
      <c r="D371" s="37" t="s">
        <v>236</v>
      </c>
      <c r="E371" s="26" t="s">
        <v>362</v>
      </c>
      <c r="F371" s="26" t="s">
        <v>355</v>
      </c>
      <c r="G371" s="79" t="s">
        <v>237</v>
      </c>
      <c r="H371" s="39"/>
      <c r="I371" s="79" t="s">
        <v>420</v>
      </c>
      <c r="J371" s="437">
        <v>350</v>
      </c>
      <c r="K371" s="377">
        <v>332.07411999999999</v>
      </c>
      <c r="L371" s="375">
        <f t="shared" si="100"/>
        <v>0.94878319999999994</v>
      </c>
      <c r="M371" s="279"/>
    </row>
    <row r="372" spans="2:13" ht="24" x14ac:dyDescent="0.25">
      <c r="B372" s="60" t="s">
        <v>131</v>
      </c>
      <c r="C372" s="79" t="s">
        <v>3</v>
      </c>
      <c r="D372" s="37" t="s">
        <v>236</v>
      </c>
      <c r="E372" s="26" t="s">
        <v>362</v>
      </c>
      <c r="F372" s="26" t="s">
        <v>355</v>
      </c>
      <c r="G372" s="79" t="s">
        <v>237</v>
      </c>
      <c r="H372" s="39"/>
      <c r="I372" s="79" t="s">
        <v>421</v>
      </c>
      <c r="J372" s="437">
        <v>289</v>
      </c>
      <c r="K372" s="377">
        <v>0</v>
      </c>
      <c r="L372" s="375">
        <f t="shared" si="100"/>
        <v>0</v>
      </c>
      <c r="M372" s="279">
        <v>268</v>
      </c>
    </row>
    <row r="373" spans="2:13" ht="24" x14ac:dyDescent="0.25">
      <c r="B373" s="55" t="s">
        <v>131</v>
      </c>
      <c r="C373" s="41" t="s">
        <v>3</v>
      </c>
      <c r="D373" s="38" t="s">
        <v>236</v>
      </c>
      <c r="E373" s="24" t="s">
        <v>362</v>
      </c>
      <c r="F373" s="24" t="s">
        <v>355</v>
      </c>
      <c r="G373" s="41" t="s">
        <v>237</v>
      </c>
      <c r="H373" s="38">
        <v>710130</v>
      </c>
      <c r="I373" s="83" t="s">
        <v>369</v>
      </c>
      <c r="J373" s="362">
        <v>100</v>
      </c>
      <c r="K373" s="409">
        <v>0</v>
      </c>
      <c r="L373" s="375">
        <f t="shared" si="100"/>
        <v>0</v>
      </c>
      <c r="M373" s="112">
        <v>2</v>
      </c>
    </row>
    <row r="374" spans="2:13" ht="48.75" thickBot="1" x14ac:dyDescent="0.3">
      <c r="B374" s="89" t="s">
        <v>131</v>
      </c>
      <c r="C374" s="80" t="s">
        <v>3</v>
      </c>
      <c r="D374" s="58" t="s">
        <v>236</v>
      </c>
      <c r="E374" s="99" t="s">
        <v>362</v>
      </c>
      <c r="F374" s="99" t="s">
        <v>355</v>
      </c>
      <c r="G374" s="80" t="s">
        <v>237</v>
      </c>
      <c r="H374" s="58">
        <v>850101</v>
      </c>
      <c r="I374" s="130" t="s">
        <v>374</v>
      </c>
      <c r="J374" s="438">
        <v>-144.69</v>
      </c>
      <c r="K374" s="364">
        <v>-144.69664</v>
      </c>
      <c r="L374" s="375">
        <f t="shared" si="100"/>
        <v>1.0000458912157026</v>
      </c>
      <c r="M374" s="473"/>
    </row>
    <row r="375" spans="2:13" ht="15" customHeight="1" thickBot="1" x14ac:dyDescent="0.3">
      <c r="B375" s="548" t="s">
        <v>240</v>
      </c>
      <c r="C375" s="549"/>
      <c r="D375" s="549"/>
      <c r="E375" s="549"/>
      <c r="F375" s="549"/>
      <c r="G375" s="549"/>
      <c r="H375" s="549"/>
      <c r="I375" s="551"/>
      <c r="J375" s="372">
        <f>J367+J370+J373+J374</f>
        <v>42975.519999999997</v>
      </c>
      <c r="K375" s="372">
        <f>K367+K370+K373+K374</f>
        <v>41834.065709999995</v>
      </c>
      <c r="L375" s="373">
        <f t="shared" si="100"/>
        <v>0.97343943040130754</v>
      </c>
      <c r="M375" s="284">
        <f t="shared" ref="M375" si="102">M367+M370+M373+M374</f>
        <v>42041.55</v>
      </c>
    </row>
    <row r="376" spans="2:13" ht="36" x14ac:dyDescent="0.25">
      <c r="B376" s="60" t="s">
        <v>131</v>
      </c>
      <c r="C376" s="40" t="s">
        <v>3</v>
      </c>
      <c r="D376" s="37">
        <v>670306</v>
      </c>
      <c r="E376" s="34" t="s">
        <v>364</v>
      </c>
      <c r="F376" s="34" t="s">
        <v>355</v>
      </c>
      <c r="G376" s="40" t="s">
        <v>241</v>
      </c>
      <c r="H376" s="37" t="s">
        <v>238</v>
      </c>
      <c r="I376" s="40" t="s">
        <v>429</v>
      </c>
      <c r="J376" s="360">
        <v>2347.2199999999998</v>
      </c>
      <c r="K376" s="374">
        <v>2218.9295099999999</v>
      </c>
      <c r="L376" s="375">
        <f t="shared" si="100"/>
        <v>0.94534364482238564</v>
      </c>
      <c r="M376" s="287">
        <v>2218.9299999999998</v>
      </c>
    </row>
    <row r="377" spans="2:13" ht="36.75" thickBot="1" x14ac:dyDescent="0.3">
      <c r="B377" s="61" t="s">
        <v>131</v>
      </c>
      <c r="C377" s="42" t="s">
        <v>3</v>
      </c>
      <c r="D377" s="39">
        <v>670306</v>
      </c>
      <c r="E377" s="25" t="s">
        <v>364</v>
      </c>
      <c r="F377" s="25" t="s">
        <v>355</v>
      </c>
      <c r="G377" s="42" t="s">
        <v>241</v>
      </c>
      <c r="H377" s="39" t="s">
        <v>239</v>
      </c>
      <c r="I377" s="42" t="s">
        <v>434</v>
      </c>
      <c r="J377" s="376">
        <v>13.4</v>
      </c>
      <c r="K377" s="377">
        <v>9.8793900000000008</v>
      </c>
      <c r="L377" s="405">
        <f t="shared" si="100"/>
        <v>0.73726791044776119</v>
      </c>
      <c r="M377" s="279">
        <v>0</v>
      </c>
    </row>
    <row r="378" spans="2:13" ht="15" customHeight="1" thickBot="1" x14ac:dyDescent="0.3">
      <c r="B378" s="548" t="s">
        <v>242</v>
      </c>
      <c r="C378" s="549"/>
      <c r="D378" s="549"/>
      <c r="E378" s="549"/>
      <c r="F378" s="549"/>
      <c r="G378" s="549"/>
      <c r="H378" s="549"/>
      <c r="I378" s="551"/>
      <c r="J378" s="372">
        <f t="shared" ref="J378" si="103">SUM(J376:J377)</f>
        <v>2360.62</v>
      </c>
      <c r="K378" s="372">
        <f t="shared" ref="K378" si="104">SUM(K376:K377)</f>
        <v>2228.8089</v>
      </c>
      <c r="L378" s="373">
        <f t="shared" si="100"/>
        <v>0.94416250815463743</v>
      </c>
      <c r="M378" s="284">
        <f t="shared" ref="M378" si="105">SUM(M376:M377)</f>
        <v>2218.9299999999998</v>
      </c>
    </row>
    <row r="379" spans="2:13" ht="24" x14ac:dyDescent="0.25">
      <c r="B379" s="60" t="s">
        <v>131</v>
      </c>
      <c r="C379" s="40" t="s">
        <v>3</v>
      </c>
      <c r="D379" s="37" t="s">
        <v>243</v>
      </c>
      <c r="E379" s="34" t="s">
        <v>364</v>
      </c>
      <c r="F379" s="34" t="s">
        <v>355</v>
      </c>
      <c r="G379" s="40" t="s">
        <v>244</v>
      </c>
      <c r="H379" s="37" t="s">
        <v>238</v>
      </c>
      <c r="I379" s="40" t="s">
        <v>430</v>
      </c>
      <c r="J379" s="360">
        <v>22826.51</v>
      </c>
      <c r="K379" s="374">
        <v>21700.364000000001</v>
      </c>
      <c r="L379" s="375">
        <f t="shared" si="100"/>
        <v>0.95066499434210494</v>
      </c>
      <c r="M379" s="287">
        <f>23496.47+4340.07</f>
        <v>27836.54</v>
      </c>
    </row>
    <row r="380" spans="2:13" ht="36" x14ac:dyDescent="0.25">
      <c r="B380" s="55" t="s">
        <v>131</v>
      </c>
      <c r="C380" s="41" t="s">
        <v>3</v>
      </c>
      <c r="D380" s="38" t="s">
        <v>243</v>
      </c>
      <c r="E380" s="24" t="s">
        <v>362</v>
      </c>
      <c r="F380" s="24" t="s">
        <v>355</v>
      </c>
      <c r="G380" s="41" t="s">
        <v>244</v>
      </c>
      <c r="H380" s="38" t="s">
        <v>239</v>
      </c>
      <c r="I380" s="41" t="s">
        <v>435</v>
      </c>
      <c r="J380" s="361">
        <v>0</v>
      </c>
      <c r="K380" s="409">
        <v>0</v>
      </c>
      <c r="L380" s="375">
        <v>0</v>
      </c>
      <c r="M380" s="112">
        <v>0</v>
      </c>
    </row>
    <row r="381" spans="2:13" ht="24" x14ac:dyDescent="0.25">
      <c r="B381" s="55" t="s">
        <v>131</v>
      </c>
      <c r="C381" s="41" t="s">
        <v>3</v>
      </c>
      <c r="D381" s="38" t="s">
        <v>243</v>
      </c>
      <c r="E381" s="26" t="s">
        <v>364</v>
      </c>
      <c r="F381" s="24" t="s">
        <v>355</v>
      </c>
      <c r="G381" s="41" t="s">
        <v>244</v>
      </c>
      <c r="H381" s="39">
        <v>203009</v>
      </c>
      <c r="I381" s="41" t="s">
        <v>340</v>
      </c>
      <c r="J381" s="376">
        <v>5.28</v>
      </c>
      <c r="K381" s="377">
        <v>5.2797999999999998</v>
      </c>
      <c r="L381" s="375">
        <f t="shared" si="100"/>
        <v>0.99996212121212114</v>
      </c>
      <c r="M381" s="270"/>
    </row>
    <row r="382" spans="2:13" x14ac:dyDescent="0.25">
      <c r="B382" s="61" t="s">
        <v>131</v>
      </c>
      <c r="C382" s="41" t="s">
        <v>3</v>
      </c>
      <c r="D382" s="38" t="s">
        <v>243</v>
      </c>
      <c r="E382" s="24" t="s">
        <v>362</v>
      </c>
      <c r="F382" s="24" t="s">
        <v>355</v>
      </c>
      <c r="G382" s="41" t="s">
        <v>244</v>
      </c>
      <c r="H382" s="38">
        <v>710130</v>
      </c>
      <c r="I382" s="83" t="s">
        <v>561</v>
      </c>
      <c r="J382" s="376">
        <v>39.4</v>
      </c>
      <c r="K382" s="377">
        <v>0</v>
      </c>
      <c r="L382" s="375">
        <f t="shared" ref="L382:L393" si="106">K382/J382</f>
        <v>0</v>
      </c>
      <c r="M382" s="270">
        <v>1000</v>
      </c>
    </row>
    <row r="383" spans="2:13" ht="48.75" thickBot="1" x14ac:dyDescent="0.3">
      <c r="B383" s="61" t="s">
        <v>131</v>
      </c>
      <c r="C383" s="80" t="s">
        <v>3</v>
      </c>
      <c r="D383" s="58" t="s">
        <v>243</v>
      </c>
      <c r="E383" s="99" t="s">
        <v>362</v>
      </c>
      <c r="F383" s="99" t="s">
        <v>355</v>
      </c>
      <c r="G383" s="80" t="s">
        <v>244</v>
      </c>
      <c r="H383" s="58">
        <v>850101</v>
      </c>
      <c r="I383" s="130" t="s">
        <v>374</v>
      </c>
      <c r="J383" s="376">
        <v>0</v>
      </c>
      <c r="K383" s="377">
        <v>-41.031999999999996</v>
      </c>
      <c r="L383" s="375"/>
      <c r="M383" s="270"/>
    </row>
    <row r="384" spans="2:13" ht="15.75" thickBot="1" x14ac:dyDescent="0.3">
      <c r="B384" s="548" t="s">
        <v>245</v>
      </c>
      <c r="C384" s="549"/>
      <c r="D384" s="549"/>
      <c r="E384" s="549"/>
      <c r="F384" s="549"/>
      <c r="G384" s="549"/>
      <c r="H384" s="549"/>
      <c r="I384" s="570"/>
      <c r="J384" s="372">
        <f>SUM(J379:J383)</f>
        <v>22871.19</v>
      </c>
      <c r="K384" s="372">
        <f>SUM(K379:K383)</f>
        <v>21664.611800000002</v>
      </c>
      <c r="L384" s="373">
        <f t="shared" si="106"/>
        <v>0.94724462522501029</v>
      </c>
      <c r="M384" s="284">
        <f>SUM(M379:M383)</f>
        <v>28836.54</v>
      </c>
    </row>
    <row r="385" spans="2:13" ht="24" x14ac:dyDescent="0.25">
      <c r="B385" s="60" t="s">
        <v>131</v>
      </c>
      <c r="C385" s="40" t="s">
        <v>3</v>
      </c>
      <c r="D385" s="37" t="s">
        <v>246</v>
      </c>
      <c r="E385" s="34" t="s">
        <v>364</v>
      </c>
      <c r="F385" s="34" t="s">
        <v>355</v>
      </c>
      <c r="G385" s="40" t="s">
        <v>247</v>
      </c>
      <c r="H385" s="37">
        <v>20</v>
      </c>
      <c r="I385" s="128" t="s">
        <v>428</v>
      </c>
      <c r="J385" s="360">
        <v>870</v>
      </c>
      <c r="K385" s="435">
        <v>827.83</v>
      </c>
      <c r="L385" s="375">
        <f t="shared" si="106"/>
        <v>0.95152873563218399</v>
      </c>
      <c r="M385" s="287">
        <v>846</v>
      </c>
    </row>
    <row r="386" spans="2:13" ht="24" x14ac:dyDescent="0.25">
      <c r="B386" s="60" t="s">
        <v>131</v>
      </c>
      <c r="C386" s="79" t="s">
        <v>3</v>
      </c>
      <c r="D386" s="37" t="s">
        <v>246</v>
      </c>
      <c r="E386" s="24" t="s">
        <v>364</v>
      </c>
      <c r="F386" s="24" t="s">
        <v>355</v>
      </c>
      <c r="G386" s="41" t="s">
        <v>247</v>
      </c>
      <c r="H386" s="38">
        <v>510101</v>
      </c>
      <c r="I386" s="79" t="s">
        <v>427</v>
      </c>
      <c r="J386" s="361">
        <v>15592</v>
      </c>
      <c r="K386" s="409">
        <v>15091.203320000001</v>
      </c>
      <c r="L386" s="375">
        <f t="shared" si="106"/>
        <v>0.96788117752693692</v>
      </c>
      <c r="M386" s="112">
        <v>15090</v>
      </c>
    </row>
    <row r="387" spans="2:13" ht="36" x14ac:dyDescent="0.25">
      <c r="B387" s="55" t="s">
        <v>131</v>
      </c>
      <c r="C387" s="41" t="s">
        <v>3</v>
      </c>
      <c r="D387" s="38" t="s">
        <v>246</v>
      </c>
      <c r="E387" s="24" t="s">
        <v>362</v>
      </c>
      <c r="F387" s="24" t="s">
        <v>355</v>
      </c>
      <c r="G387" s="41" t="s">
        <v>247</v>
      </c>
      <c r="H387" s="38">
        <v>510229</v>
      </c>
      <c r="I387" s="41" t="s">
        <v>432</v>
      </c>
      <c r="J387" s="361">
        <v>334</v>
      </c>
      <c r="K387" s="409">
        <v>329.36459000000002</v>
      </c>
      <c r="L387" s="375">
        <f t="shared" si="106"/>
        <v>0.98612152694610788</v>
      </c>
      <c r="M387" s="112">
        <v>1800</v>
      </c>
    </row>
    <row r="388" spans="2:13" ht="24" x14ac:dyDescent="0.25">
      <c r="B388" s="55" t="s">
        <v>131</v>
      </c>
      <c r="C388" s="41" t="s">
        <v>3</v>
      </c>
      <c r="D388" s="38" t="s">
        <v>246</v>
      </c>
      <c r="E388" s="24" t="s">
        <v>362</v>
      </c>
      <c r="F388" s="24" t="s">
        <v>355</v>
      </c>
      <c r="G388" s="41" t="s">
        <v>247</v>
      </c>
      <c r="H388" s="38" t="s">
        <v>158</v>
      </c>
      <c r="I388" s="83" t="s">
        <v>369</v>
      </c>
      <c r="J388" s="361">
        <v>400</v>
      </c>
      <c r="K388" s="409">
        <v>49.867600000000003</v>
      </c>
      <c r="L388" s="375">
        <f t="shared" si="106"/>
        <v>0.124669</v>
      </c>
      <c r="M388" s="275">
        <v>1875</v>
      </c>
    </row>
    <row r="389" spans="2:13" ht="48.75" thickBot="1" x14ac:dyDescent="0.3">
      <c r="B389" s="55" t="s">
        <v>131</v>
      </c>
      <c r="C389" s="41" t="s">
        <v>3</v>
      </c>
      <c r="D389" s="38" t="s">
        <v>246</v>
      </c>
      <c r="E389" s="24" t="s">
        <v>364</v>
      </c>
      <c r="F389" s="24" t="s">
        <v>355</v>
      </c>
      <c r="G389" s="41" t="s">
        <v>247</v>
      </c>
      <c r="H389" s="58">
        <v>850101</v>
      </c>
      <c r="I389" s="130" t="s">
        <v>374</v>
      </c>
      <c r="J389" s="363">
        <v>-12.45</v>
      </c>
      <c r="K389" s="388">
        <v>-12.4535</v>
      </c>
      <c r="L389" s="375">
        <f t="shared" si="106"/>
        <v>1.0002811244979921</v>
      </c>
      <c r="M389" s="266"/>
    </row>
    <row r="390" spans="2:13" ht="15" customHeight="1" thickBot="1" x14ac:dyDescent="0.3">
      <c r="B390" s="548" t="s">
        <v>248</v>
      </c>
      <c r="C390" s="549"/>
      <c r="D390" s="549"/>
      <c r="E390" s="549"/>
      <c r="F390" s="549"/>
      <c r="G390" s="549"/>
      <c r="H390" s="549"/>
      <c r="I390" s="551"/>
      <c r="J390" s="372">
        <f>J385+J386+J387+J388+J389</f>
        <v>17183.55</v>
      </c>
      <c r="K390" s="372">
        <f>K385+K386+K387+K388+K389</f>
        <v>16285.81201</v>
      </c>
      <c r="L390" s="373">
        <f t="shared" si="106"/>
        <v>0.94775596486174274</v>
      </c>
      <c r="M390" s="284">
        <f>M385+M386+M387+M388+M389</f>
        <v>19611</v>
      </c>
    </row>
    <row r="391" spans="2:13" x14ac:dyDescent="0.25">
      <c r="B391" s="92" t="s">
        <v>131</v>
      </c>
      <c r="C391" s="40" t="s">
        <v>3</v>
      </c>
      <c r="D391" s="57">
        <v>675000</v>
      </c>
      <c r="E391" s="34" t="s">
        <v>364</v>
      </c>
      <c r="F391" s="34" t="s">
        <v>355</v>
      </c>
      <c r="G391" s="40" t="s">
        <v>249</v>
      </c>
      <c r="H391" s="57" t="s">
        <v>250</v>
      </c>
      <c r="I391" s="40" t="s">
        <v>251</v>
      </c>
      <c r="J391" s="407">
        <v>950</v>
      </c>
      <c r="K391" s="402">
        <v>460</v>
      </c>
      <c r="L391" s="390">
        <f t="shared" si="106"/>
        <v>0.48421052631578948</v>
      </c>
      <c r="M391" s="111">
        <v>490</v>
      </c>
    </row>
    <row r="392" spans="2:13" ht="36" x14ac:dyDescent="0.25">
      <c r="B392" s="55" t="s">
        <v>131</v>
      </c>
      <c r="C392" s="41" t="s">
        <v>3</v>
      </c>
      <c r="D392" s="38" t="s">
        <v>252</v>
      </c>
      <c r="E392" s="24" t="s">
        <v>364</v>
      </c>
      <c r="F392" s="24" t="s">
        <v>355</v>
      </c>
      <c r="G392" s="41" t="s">
        <v>253</v>
      </c>
      <c r="H392" s="38">
        <v>200109</v>
      </c>
      <c r="I392" s="41" t="s">
        <v>426</v>
      </c>
      <c r="J392" s="361">
        <v>610</v>
      </c>
      <c r="K392" s="409">
        <v>549.94813999999997</v>
      </c>
      <c r="L392" s="393">
        <f t="shared" si="106"/>
        <v>0.90155432786885237</v>
      </c>
      <c r="M392" s="112">
        <v>1630</v>
      </c>
    </row>
    <row r="393" spans="2:13" ht="24" x14ac:dyDescent="0.25">
      <c r="B393" s="55" t="s">
        <v>131</v>
      </c>
      <c r="C393" s="41" t="s">
        <v>3</v>
      </c>
      <c r="D393" s="38" t="s">
        <v>252</v>
      </c>
      <c r="E393" s="24" t="s">
        <v>364</v>
      </c>
      <c r="F393" s="24" t="s">
        <v>355</v>
      </c>
      <c r="G393" s="41" t="s">
        <v>253</v>
      </c>
      <c r="H393" s="38">
        <v>200130</v>
      </c>
      <c r="I393" s="41" t="s">
        <v>425</v>
      </c>
      <c r="J393" s="361">
        <v>3585</v>
      </c>
      <c r="K393" s="409">
        <v>2915.3944200000001</v>
      </c>
      <c r="L393" s="393">
        <f t="shared" si="106"/>
        <v>0.81322020083682012</v>
      </c>
      <c r="M393" s="112">
        <v>4000</v>
      </c>
    </row>
    <row r="394" spans="2:13" ht="24.75" thickBot="1" x14ac:dyDescent="0.3">
      <c r="B394" s="56" t="s">
        <v>131</v>
      </c>
      <c r="C394" s="42" t="s">
        <v>3</v>
      </c>
      <c r="D394" s="69" t="s">
        <v>252</v>
      </c>
      <c r="E394" s="25" t="s">
        <v>362</v>
      </c>
      <c r="F394" s="25" t="s">
        <v>355</v>
      </c>
      <c r="G394" s="42" t="s">
        <v>253</v>
      </c>
      <c r="H394" s="69" t="s">
        <v>158</v>
      </c>
      <c r="I394" s="305" t="s">
        <v>561</v>
      </c>
      <c r="J394" s="429">
        <v>335</v>
      </c>
      <c r="K394" s="403">
        <v>0</v>
      </c>
      <c r="L394" s="393">
        <f t="shared" ref="L394:L410" si="107">K394/J394</f>
        <v>0</v>
      </c>
      <c r="M394" s="277">
        <v>2189</v>
      </c>
    </row>
    <row r="395" spans="2:13" ht="15" customHeight="1" thickBot="1" x14ac:dyDescent="0.3">
      <c r="B395" s="548" t="s">
        <v>255</v>
      </c>
      <c r="C395" s="549"/>
      <c r="D395" s="549"/>
      <c r="E395" s="549"/>
      <c r="F395" s="549"/>
      <c r="G395" s="549"/>
      <c r="H395" s="549"/>
      <c r="I395" s="550"/>
      <c r="J395" s="372">
        <f>J391+J392+J393+J394</f>
        <v>5480</v>
      </c>
      <c r="K395" s="372">
        <f>K391+K392+K393+K394</f>
        <v>3925.34256</v>
      </c>
      <c r="L395" s="373">
        <f t="shared" si="107"/>
        <v>0.7163033868613139</v>
      </c>
      <c r="M395" s="284">
        <f>M391+M392+M393+M394</f>
        <v>8309</v>
      </c>
    </row>
    <row r="396" spans="2:13" ht="34.5" customHeight="1" thickBot="1" x14ac:dyDescent="0.3">
      <c r="B396" s="60" t="s">
        <v>131</v>
      </c>
      <c r="C396" s="79" t="s">
        <v>3</v>
      </c>
      <c r="D396" s="555">
        <v>67</v>
      </c>
      <c r="E396" s="568" t="s">
        <v>364</v>
      </c>
      <c r="F396" s="558"/>
      <c r="G396" s="556" t="s">
        <v>446</v>
      </c>
      <c r="H396" s="568">
        <v>20</v>
      </c>
      <c r="I396" s="488" t="s">
        <v>375</v>
      </c>
      <c r="J396" s="439">
        <f>J397+J398+J400+J399</f>
        <v>5070.28</v>
      </c>
      <c r="K396" s="370">
        <f>K397+K398+K400+K399</f>
        <v>4298.4523600000002</v>
      </c>
      <c r="L396" s="379">
        <f t="shared" si="107"/>
        <v>0.84777415842912041</v>
      </c>
      <c r="M396" s="280">
        <f>M397+M398+M400+M399</f>
        <v>6476</v>
      </c>
    </row>
    <row r="397" spans="2:13" ht="24.75" thickBot="1" x14ac:dyDescent="0.3">
      <c r="B397" s="55" t="s">
        <v>131</v>
      </c>
      <c r="C397" s="41" t="s">
        <v>3</v>
      </c>
      <c r="D397" s="556"/>
      <c r="E397" s="568"/>
      <c r="F397" s="559"/>
      <c r="G397" s="556"/>
      <c r="H397" s="568"/>
      <c r="I397" s="203" t="str">
        <f>I385</f>
        <v>Bunuri si servicii - PARC MUNICIPAL VEST-</v>
      </c>
      <c r="J397" s="11">
        <f>J385</f>
        <v>870</v>
      </c>
      <c r="K397" s="380">
        <f>K385</f>
        <v>827.83</v>
      </c>
      <c r="L397" s="379">
        <f t="shared" si="107"/>
        <v>0.95152873563218399</v>
      </c>
      <c r="M397" s="280">
        <f>M385</f>
        <v>846</v>
      </c>
    </row>
    <row r="398" spans="2:13" ht="34.5" customHeight="1" thickBot="1" x14ac:dyDescent="0.3">
      <c r="B398" s="55" t="s">
        <v>131</v>
      </c>
      <c r="C398" s="41" t="s">
        <v>3</v>
      </c>
      <c r="D398" s="556"/>
      <c r="E398" s="568"/>
      <c r="F398" s="559"/>
      <c r="G398" s="556"/>
      <c r="H398" s="568"/>
      <c r="I398" s="203" t="str">
        <f>I392</f>
        <v>Materiale și prestări servicii cu caracter funcțional - ILUMINAT ORNAMENTAL-</v>
      </c>
      <c r="J398" s="11">
        <f>J392</f>
        <v>610</v>
      </c>
      <c r="K398" s="380">
        <f>K392</f>
        <v>549.94813999999997</v>
      </c>
      <c r="L398" s="379">
        <f t="shared" si="107"/>
        <v>0.90155432786885237</v>
      </c>
      <c r="M398" s="280">
        <f>M392</f>
        <v>1630</v>
      </c>
    </row>
    <row r="399" spans="2:13" ht="24.75" thickBot="1" x14ac:dyDescent="0.3">
      <c r="B399" s="55"/>
      <c r="C399" s="41"/>
      <c r="D399" s="556"/>
      <c r="E399" s="568"/>
      <c r="F399" s="559"/>
      <c r="G399" s="556"/>
      <c r="H399" s="568"/>
      <c r="I399" s="203" t="s">
        <v>514</v>
      </c>
      <c r="J399" s="11">
        <f>J381</f>
        <v>5.28</v>
      </c>
      <c r="K399" s="11">
        <f>K381</f>
        <v>5.2797999999999998</v>
      </c>
      <c r="L399" s="379">
        <f t="shared" si="107"/>
        <v>0.99996212121212114</v>
      </c>
      <c r="M399" s="280">
        <f>M381</f>
        <v>0</v>
      </c>
    </row>
    <row r="400" spans="2:13" ht="36.75" thickBot="1" x14ac:dyDescent="0.3">
      <c r="B400" s="55" t="s">
        <v>131</v>
      </c>
      <c r="C400" s="41" t="s">
        <v>3</v>
      </c>
      <c r="D400" s="556"/>
      <c r="E400" s="569"/>
      <c r="F400" s="560"/>
      <c r="G400" s="556"/>
      <c r="H400" s="569"/>
      <c r="I400" s="203" t="str">
        <f>I393</f>
        <v>Alte cheltuieli cu bunuri si servicii - ACTIUNI CULTURALE-</v>
      </c>
      <c r="J400" s="11">
        <f>J393</f>
        <v>3585</v>
      </c>
      <c r="K400" s="380">
        <f>K393</f>
        <v>2915.3944200000001</v>
      </c>
      <c r="L400" s="379">
        <f t="shared" si="107"/>
        <v>0.81322020083682012</v>
      </c>
      <c r="M400" s="280">
        <f>M393</f>
        <v>4000</v>
      </c>
    </row>
    <row r="401" spans="2:13" ht="48.75" thickBot="1" x14ac:dyDescent="0.3">
      <c r="B401" s="55" t="s">
        <v>131</v>
      </c>
      <c r="C401" s="41" t="s">
        <v>3</v>
      </c>
      <c r="D401" s="556"/>
      <c r="E401" s="567" t="s">
        <v>364</v>
      </c>
      <c r="F401" s="558"/>
      <c r="G401" s="556"/>
      <c r="H401" s="567">
        <v>510101</v>
      </c>
      <c r="I401" s="489" t="s">
        <v>431</v>
      </c>
      <c r="J401" s="439">
        <f>J402+J403+J404+J405+J406</f>
        <v>83146.94</v>
      </c>
      <c r="K401" s="370">
        <f t="shared" ref="K401" si="108">K402+K403+K404+K405+K406</f>
        <v>80657.185060000003</v>
      </c>
      <c r="L401" s="379">
        <f t="shared" si="107"/>
        <v>0.97005596429646124</v>
      </c>
      <c r="M401" s="280">
        <f>M402+M403+M404+M405+M406</f>
        <v>86917.02</v>
      </c>
    </row>
    <row r="402" spans="2:13" ht="15.75" customHeight="1" thickBot="1" x14ac:dyDescent="0.3">
      <c r="B402" s="55" t="s">
        <v>131</v>
      </c>
      <c r="C402" s="41" t="s">
        <v>3</v>
      </c>
      <c r="D402" s="556"/>
      <c r="E402" s="568"/>
      <c r="F402" s="559"/>
      <c r="G402" s="556"/>
      <c r="H402" s="568"/>
      <c r="I402" s="490" t="str">
        <f t="shared" ref="I402:K403" si="109">I368</f>
        <v>Teatrul Toma Caragiu</v>
      </c>
      <c r="J402" s="11">
        <f t="shared" si="109"/>
        <v>19875</v>
      </c>
      <c r="K402" s="370">
        <f t="shared" si="109"/>
        <v>19693.923999999999</v>
      </c>
      <c r="L402" s="379">
        <f t="shared" si="107"/>
        <v>0.99088925786163518</v>
      </c>
      <c r="M402" s="280">
        <f>M368</f>
        <v>19694.04</v>
      </c>
    </row>
    <row r="403" spans="2:13" ht="15.75" thickBot="1" x14ac:dyDescent="0.3">
      <c r="B403" s="55" t="s">
        <v>131</v>
      </c>
      <c r="C403" s="41" t="s">
        <v>3</v>
      </c>
      <c r="D403" s="556"/>
      <c r="E403" s="568"/>
      <c r="F403" s="559"/>
      <c r="G403" s="556"/>
      <c r="H403" s="568"/>
      <c r="I403" s="490" t="str">
        <f t="shared" si="109"/>
        <v>Filarmonica Paul Constantinescu</v>
      </c>
      <c r="J403" s="11">
        <f t="shared" si="109"/>
        <v>22506.21</v>
      </c>
      <c r="K403" s="380">
        <f t="shared" si="109"/>
        <v>21952.764230000001</v>
      </c>
      <c r="L403" s="379">
        <f t="shared" si="107"/>
        <v>0.97540919728377196</v>
      </c>
      <c r="M403" s="280">
        <f>M369</f>
        <v>22077.51</v>
      </c>
    </row>
    <row r="404" spans="2:13" ht="15.75" thickBot="1" x14ac:dyDescent="0.3">
      <c r="B404" s="55" t="s">
        <v>131</v>
      </c>
      <c r="C404" s="41" t="s">
        <v>3</v>
      </c>
      <c r="D404" s="556"/>
      <c r="E404" s="568"/>
      <c r="F404" s="559"/>
      <c r="G404" s="556"/>
      <c r="H404" s="568"/>
      <c r="I404" s="490" t="s">
        <v>436</v>
      </c>
      <c r="J404" s="11">
        <f>J376</f>
        <v>2347.2199999999998</v>
      </c>
      <c r="K404" s="380">
        <f>K376</f>
        <v>2218.9295099999999</v>
      </c>
      <c r="L404" s="379">
        <f t="shared" si="107"/>
        <v>0.94534364482238564</v>
      </c>
      <c r="M404" s="280">
        <f>M376</f>
        <v>2218.9299999999998</v>
      </c>
    </row>
    <row r="405" spans="2:13" ht="15.75" thickBot="1" x14ac:dyDescent="0.3">
      <c r="B405" s="55" t="s">
        <v>131</v>
      </c>
      <c r="C405" s="41" t="s">
        <v>3</v>
      </c>
      <c r="D405" s="556"/>
      <c r="E405" s="568"/>
      <c r="F405" s="559"/>
      <c r="G405" s="556"/>
      <c r="H405" s="568"/>
      <c r="I405" s="490" t="s">
        <v>437</v>
      </c>
      <c r="J405" s="11">
        <f>J379</f>
        <v>22826.51</v>
      </c>
      <c r="K405" s="380">
        <f>K379</f>
        <v>21700.364000000001</v>
      </c>
      <c r="L405" s="379">
        <f t="shared" si="107"/>
        <v>0.95066499434210494</v>
      </c>
      <c r="M405" s="280">
        <f>M379</f>
        <v>27836.54</v>
      </c>
    </row>
    <row r="406" spans="2:13" ht="15.75" customHeight="1" thickBot="1" x14ac:dyDescent="0.3">
      <c r="B406" s="55" t="s">
        <v>131</v>
      </c>
      <c r="C406" s="41" t="s">
        <v>3</v>
      </c>
      <c r="D406" s="556"/>
      <c r="E406" s="569"/>
      <c r="F406" s="560"/>
      <c r="G406" s="556"/>
      <c r="H406" s="569"/>
      <c r="I406" s="491" t="s">
        <v>438</v>
      </c>
      <c r="J406" s="11">
        <f>J386</f>
        <v>15592</v>
      </c>
      <c r="K406" s="380">
        <f>K386</f>
        <v>15091.203320000001</v>
      </c>
      <c r="L406" s="379">
        <f t="shared" si="107"/>
        <v>0.96788117752693692</v>
      </c>
      <c r="M406" s="280">
        <f>M386</f>
        <v>15090</v>
      </c>
    </row>
    <row r="407" spans="2:13" ht="48.75" thickBot="1" x14ac:dyDescent="0.3">
      <c r="B407" s="55" t="s">
        <v>131</v>
      </c>
      <c r="C407" s="41" t="s">
        <v>3</v>
      </c>
      <c r="D407" s="556"/>
      <c r="E407" s="567" t="s">
        <v>362</v>
      </c>
      <c r="F407" s="558"/>
      <c r="G407" s="556"/>
      <c r="H407" s="567">
        <v>510229</v>
      </c>
      <c r="I407" s="137" t="s">
        <v>433</v>
      </c>
      <c r="J407" s="439">
        <f>SUM(J408:J412)</f>
        <v>986.4</v>
      </c>
      <c r="K407" s="370">
        <f t="shared" ref="K407" si="110">SUM(K408:K412)</f>
        <v>671.31809999999996</v>
      </c>
      <c r="L407" s="379">
        <f t="shared" si="107"/>
        <v>0.68057390510948901</v>
      </c>
      <c r="M407" s="280">
        <f>SUM(M408:M412)</f>
        <v>2068</v>
      </c>
    </row>
    <row r="408" spans="2:13" ht="15.75" customHeight="1" thickBot="1" x14ac:dyDescent="0.3">
      <c r="B408" s="55" t="s">
        <v>131</v>
      </c>
      <c r="C408" s="41" t="s">
        <v>3</v>
      </c>
      <c r="D408" s="556"/>
      <c r="E408" s="568"/>
      <c r="F408" s="559"/>
      <c r="G408" s="556"/>
      <c r="H408" s="568"/>
      <c r="I408" s="140" t="str">
        <f t="shared" ref="I408:K409" si="111">I371</f>
        <v>Teatrul Toma Caragiu</v>
      </c>
      <c r="J408" s="11">
        <f t="shared" si="111"/>
        <v>350</v>
      </c>
      <c r="K408" s="380">
        <f t="shared" si="111"/>
        <v>332.07411999999999</v>
      </c>
      <c r="L408" s="379">
        <f t="shared" si="107"/>
        <v>0.94878319999999994</v>
      </c>
      <c r="M408" s="280">
        <f>M371</f>
        <v>0</v>
      </c>
    </row>
    <row r="409" spans="2:13" ht="15.75" thickBot="1" x14ac:dyDescent="0.3">
      <c r="B409" s="55" t="s">
        <v>131</v>
      </c>
      <c r="C409" s="41" t="s">
        <v>3</v>
      </c>
      <c r="D409" s="556"/>
      <c r="E409" s="568"/>
      <c r="F409" s="559"/>
      <c r="G409" s="556"/>
      <c r="H409" s="568"/>
      <c r="I409" s="140" t="str">
        <f t="shared" si="111"/>
        <v>Filarmonica Paul Constantinescu</v>
      </c>
      <c r="J409" s="11">
        <f t="shared" si="111"/>
        <v>289</v>
      </c>
      <c r="K409" s="380">
        <f t="shared" si="111"/>
        <v>0</v>
      </c>
      <c r="L409" s="379">
        <f t="shared" si="107"/>
        <v>0</v>
      </c>
      <c r="M409" s="280">
        <f>M372</f>
        <v>268</v>
      </c>
    </row>
    <row r="410" spans="2:13" ht="15.75" thickBot="1" x14ac:dyDescent="0.3">
      <c r="B410" s="55" t="s">
        <v>131</v>
      </c>
      <c r="C410" s="41" t="s">
        <v>3</v>
      </c>
      <c r="D410" s="556"/>
      <c r="E410" s="568"/>
      <c r="F410" s="559"/>
      <c r="G410" s="556"/>
      <c r="H410" s="568"/>
      <c r="I410" s="139" t="s">
        <v>436</v>
      </c>
      <c r="J410" s="11">
        <f>J377</f>
        <v>13.4</v>
      </c>
      <c r="K410" s="380">
        <f>K377</f>
        <v>9.8793900000000008</v>
      </c>
      <c r="L410" s="379">
        <f t="shared" si="107"/>
        <v>0.73726791044776119</v>
      </c>
      <c r="M410" s="280">
        <f>M377</f>
        <v>0</v>
      </c>
    </row>
    <row r="411" spans="2:13" ht="15.75" customHeight="1" thickBot="1" x14ac:dyDescent="0.3">
      <c r="B411" s="55" t="s">
        <v>131</v>
      </c>
      <c r="C411" s="41" t="s">
        <v>3</v>
      </c>
      <c r="D411" s="556"/>
      <c r="E411" s="568"/>
      <c r="F411" s="559"/>
      <c r="G411" s="556"/>
      <c r="H411" s="568"/>
      <c r="I411" s="139" t="s">
        <v>437</v>
      </c>
      <c r="J411" s="11">
        <f>J380</f>
        <v>0</v>
      </c>
      <c r="K411" s="380">
        <f>K380</f>
        <v>0</v>
      </c>
      <c r="L411" s="379">
        <v>0</v>
      </c>
      <c r="M411" s="280">
        <f>M380</f>
        <v>0</v>
      </c>
    </row>
    <row r="412" spans="2:13" ht="15.75" thickBot="1" x14ac:dyDescent="0.3">
      <c r="B412" s="55" t="s">
        <v>131</v>
      </c>
      <c r="C412" s="41" t="s">
        <v>3</v>
      </c>
      <c r="D412" s="556"/>
      <c r="E412" s="569"/>
      <c r="F412" s="560"/>
      <c r="G412" s="556"/>
      <c r="H412" s="569"/>
      <c r="I412" s="140" t="s">
        <v>438</v>
      </c>
      <c r="J412" s="11">
        <f>J387</f>
        <v>334</v>
      </c>
      <c r="K412" s="380">
        <f>K387</f>
        <v>329.36459000000002</v>
      </c>
      <c r="L412" s="379">
        <f t="shared" ref="L412:L421" si="112">K412/J412</f>
        <v>0.98612152694610788</v>
      </c>
      <c r="M412" s="280">
        <f>M387</f>
        <v>1800</v>
      </c>
    </row>
    <row r="413" spans="2:13" ht="15.75" thickBot="1" x14ac:dyDescent="0.3">
      <c r="B413" s="55" t="s">
        <v>131</v>
      </c>
      <c r="C413" s="41" t="s">
        <v>3</v>
      </c>
      <c r="D413" s="556"/>
      <c r="E413" s="22" t="s">
        <v>364</v>
      </c>
      <c r="F413" s="19"/>
      <c r="G413" s="556"/>
      <c r="H413" s="22">
        <v>59</v>
      </c>
      <c r="I413" s="140" t="str">
        <f>I391</f>
        <v>Sustinerea cultelor</v>
      </c>
      <c r="J413" s="11">
        <f>J391</f>
        <v>950</v>
      </c>
      <c r="K413" s="370">
        <f>K391</f>
        <v>460</v>
      </c>
      <c r="L413" s="379">
        <f t="shared" si="112"/>
        <v>0.48421052631578948</v>
      </c>
      <c r="M413" s="280">
        <f>M391</f>
        <v>490</v>
      </c>
    </row>
    <row r="414" spans="2:13" ht="15.75" thickBot="1" x14ac:dyDescent="0.3">
      <c r="B414" s="55" t="s">
        <v>131</v>
      </c>
      <c r="C414" s="41" t="s">
        <v>3</v>
      </c>
      <c r="D414" s="556"/>
      <c r="E414" s="22" t="s">
        <v>362</v>
      </c>
      <c r="F414" s="19"/>
      <c r="G414" s="556"/>
      <c r="H414" s="22">
        <v>71</v>
      </c>
      <c r="I414" s="140" t="s">
        <v>439</v>
      </c>
      <c r="J414" s="439">
        <f>J394+J388+J382+J373</f>
        <v>874.4</v>
      </c>
      <c r="K414" s="370">
        <f>K394+K388+K382+K373</f>
        <v>49.867600000000003</v>
      </c>
      <c r="L414" s="379">
        <f t="shared" si="112"/>
        <v>5.7030649588289115E-2</v>
      </c>
      <c r="M414" s="280">
        <f>M394+M388+M382+M373</f>
        <v>5066</v>
      </c>
    </row>
    <row r="415" spans="2:13" ht="48.75" thickBot="1" x14ac:dyDescent="0.3">
      <c r="B415" s="61" t="s">
        <v>131</v>
      </c>
      <c r="C415" s="87" t="s">
        <v>3</v>
      </c>
      <c r="D415" s="556"/>
      <c r="E415" s="247" t="s">
        <v>364</v>
      </c>
      <c r="F415" s="248"/>
      <c r="G415" s="556"/>
      <c r="H415" s="247">
        <v>85</v>
      </c>
      <c r="I415" s="130" t="s">
        <v>374</v>
      </c>
      <c r="J415" s="440">
        <f>J389+J374+J383</f>
        <v>-157.13999999999999</v>
      </c>
      <c r="K415" s="11">
        <f>K389+K374+K383</f>
        <v>-198.18214</v>
      </c>
      <c r="L415" s="379">
        <f t="shared" si="112"/>
        <v>1.2611820033091512</v>
      </c>
      <c r="M415" s="475">
        <f>M389+M374+M383</f>
        <v>0</v>
      </c>
    </row>
    <row r="416" spans="2:13" ht="16.5" thickBot="1" x14ac:dyDescent="0.3">
      <c r="B416" s="61" t="s">
        <v>131</v>
      </c>
      <c r="C416" s="87" t="s">
        <v>3</v>
      </c>
      <c r="D416" s="556"/>
      <c r="E416" s="158" t="s">
        <v>364</v>
      </c>
      <c r="F416" s="571" t="s">
        <v>478</v>
      </c>
      <c r="G416" s="571"/>
      <c r="H416" s="571"/>
      <c r="I416" s="571"/>
      <c r="J416" s="441">
        <f>J415+J413+J401+J396</f>
        <v>89010.08</v>
      </c>
      <c r="K416" s="382">
        <f t="shared" ref="K416" si="113">K415+K413+K401+K396</f>
        <v>85217.455279999995</v>
      </c>
      <c r="L416" s="383">
        <f t="shared" si="112"/>
        <v>0.95739106492208514</v>
      </c>
      <c r="M416" s="288">
        <f>M415+M413+M401+M396</f>
        <v>93883.02</v>
      </c>
    </row>
    <row r="417" spans="2:13" ht="16.5" thickBot="1" x14ac:dyDescent="0.3">
      <c r="B417" s="61" t="s">
        <v>131</v>
      </c>
      <c r="C417" s="87" t="s">
        <v>3</v>
      </c>
      <c r="D417" s="557"/>
      <c r="E417" s="158" t="s">
        <v>362</v>
      </c>
      <c r="F417" s="571" t="s">
        <v>479</v>
      </c>
      <c r="G417" s="571"/>
      <c r="H417" s="571"/>
      <c r="I417" s="571"/>
      <c r="J417" s="441">
        <f>J414+J407</f>
        <v>1860.8</v>
      </c>
      <c r="K417" s="382">
        <f t="shared" ref="K417" si="114">K414+K407</f>
        <v>721.1857</v>
      </c>
      <c r="L417" s="383">
        <f t="shared" si="112"/>
        <v>0.38756755159071365</v>
      </c>
      <c r="M417" s="288">
        <f>M414+M407</f>
        <v>7134</v>
      </c>
    </row>
    <row r="418" spans="2:13" s="142" customFormat="1" ht="25.5" customHeight="1" thickBot="1" x14ac:dyDescent="0.4">
      <c r="B418" s="564" t="s">
        <v>320</v>
      </c>
      <c r="C418" s="565"/>
      <c r="D418" s="565"/>
      <c r="E418" s="565"/>
      <c r="F418" s="565"/>
      <c r="G418" s="565"/>
      <c r="H418" s="565"/>
      <c r="I418" s="566"/>
      <c r="J418" s="442">
        <f>J415+J414+J413+J407++J401+J396</f>
        <v>90870.88</v>
      </c>
      <c r="K418" s="443">
        <f t="shared" ref="K418" si="115">K415+K414+K413+K407++K401+K396</f>
        <v>85938.640979999996</v>
      </c>
      <c r="L418" s="385">
        <f t="shared" si="112"/>
        <v>0.94572255688510987</v>
      </c>
      <c r="M418" s="468">
        <f>M416+M417</f>
        <v>101017.02</v>
      </c>
    </row>
    <row r="419" spans="2:13" ht="25.5" customHeight="1" x14ac:dyDescent="0.25">
      <c r="B419" s="60" t="s">
        <v>131</v>
      </c>
      <c r="C419" s="79" t="s">
        <v>3</v>
      </c>
      <c r="D419" s="37" t="s">
        <v>256</v>
      </c>
      <c r="E419" s="34" t="s">
        <v>364</v>
      </c>
      <c r="F419" s="57" t="s">
        <v>363</v>
      </c>
      <c r="G419" s="40" t="s">
        <v>257</v>
      </c>
      <c r="H419" s="88">
        <v>10</v>
      </c>
      <c r="I419" s="493" t="s">
        <v>352</v>
      </c>
      <c r="J419" s="430">
        <v>1840</v>
      </c>
      <c r="K419" s="426">
        <v>1835.47</v>
      </c>
      <c r="L419" s="393">
        <f t="shared" si="112"/>
        <v>0.99753804347826092</v>
      </c>
      <c r="M419" s="583"/>
    </row>
    <row r="420" spans="2:13" x14ac:dyDescent="0.25">
      <c r="B420" s="55" t="s">
        <v>131</v>
      </c>
      <c r="C420" s="41" t="s">
        <v>3</v>
      </c>
      <c r="D420" s="37" t="s">
        <v>256</v>
      </c>
      <c r="E420" s="24" t="s">
        <v>364</v>
      </c>
      <c r="F420" s="37" t="s">
        <v>363</v>
      </c>
      <c r="G420" s="41" t="s">
        <v>257</v>
      </c>
      <c r="H420" s="82">
        <v>20</v>
      </c>
      <c r="I420" s="83" t="s">
        <v>351</v>
      </c>
      <c r="J420" s="361">
        <v>859</v>
      </c>
      <c r="K420" s="344">
        <v>673.06</v>
      </c>
      <c r="L420" s="393">
        <f t="shared" si="112"/>
        <v>0.78353899883585554</v>
      </c>
      <c r="M420" s="584"/>
    </row>
    <row r="421" spans="2:13" ht="36" x14ac:dyDescent="0.25">
      <c r="B421" s="55" t="s">
        <v>131</v>
      </c>
      <c r="C421" s="41" t="s">
        <v>3</v>
      </c>
      <c r="D421" s="37" t="s">
        <v>256</v>
      </c>
      <c r="E421" s="24" t="s">
        <v>364</v>
      </c>
      <c r="F421" s="37" t="s">
        <v>363</v>
      </c>
      <c r="G421" s="41" t="s">
        <v>257</v>
      </c>
      <c r="H421" s="174">
        <v>59</v>
      </c>
      <c r="I421" s="492" t="s">
        <v>607</v>
      </c>
      <c r="J421" s="376">
        <v>14</v>
      </c>
      <c r="K421" s="338">
        <v>13.72</v>
      </c>
      <c r="L421" s="393">
        <f t="shared" si="112"/>
        <v>0.98000000000000009</v>
      </c>
      <c r="M421" s="584"/>
    </row>
    <row r="422" spans="2:13" ht="24" x14ac:dyDescent="0.25">
      <c r="B422" s="55"/>
      <c r="C422" s="41"/>
      <c r="D422" s="38" t="s">
        <v>256</v>
      </c>
      <c r="E422" s="23" t="s">
        <v>364</v>
      </c>
      <c r="F422" s="37" t="s">
        <v>363</v>
      </c>
      <c r="G422" s="41" t="s">
        <v>257</v>
      </c>
      <c r="H422" s="82">
        <v>710102</v>
      </c>
      <c r="I422" s="41" t="s">
        <v>562</v>
      </c>
      <c r="J422" s="411">
        <v>9</v>
      </c>
      <c r="K422" s="409">
        <v>8.5639299999999992</v>
      </c>
      <c r="L422" s="393">
        <f t="shared" ref="L422:L439" si="116">K422/J422</f>
        <v>0.95154777777777766</v>
      </c>
      <c r="M422" s="584"/>
    </row>
    <row r="423" spans="2:13" ht="48" x14ac:dyDescent="0.25">
      <c r="B423" s="55" t="s">
        <v>131</v>
      </c>
      <c r="C423" s="41" t="s">
        <v>3</v>
      </c>
      <c r="D423" s="38">
        <v>680400</v>
      </c>
      <c r="E423" s="24" t="s">
        <v>364</v>
      </c>
      <c r="F423" s="37" t="s">
        <v>363</v>
      </c>
      <c r="G423" s="41" t="s">
        <v>257</v>
      </c>
      <c r="H423" s="82">
        <v>850101</v>
      </c>
      <c r="I423" s="143" t="s">
        <v>365</v>
      </c>
      <c r="J423" s="411">
        <v>-7.13</v>
      </c>
      <c r="K423" s="409">
        <v>-7.1319999999999997</v>
      </c>
      <c r="L423" s="393">
        <f t="shared" si="116"/>
        <v>1.0002805049088359</v>
      </c>
      <c r="M423" s="584"/>
    </row>
    <row r="424" spans="2:13" ht="48.75" thickBot="1" x14ac:dyDescent="0.3">
      <c r="B424" s="60" t="s">
        <v>131</v>
      </c>
      <c r="C424" s="79" t="s">
        <v>3</v>
      </c>
      <c r="D424" s="37" t="s">
        <v>256</v>
      </c>
      <c r="E424" s="23" t="s">
        <v>362</v>
      </c>
      <c r="F424" s="37" t="s">
        <v>363</v>
      </c>
      <c r="G424" s="79" t="s">
        <v>257</v>
      </c>
      <c r="H424" s="193">
        <v>850102</v>
      </c>
      <c r="I424" s="102" t="s">
        <v>365</v>
      </c>
      <c r="J424" s="444">
        <v>-13.5</v>
      </c>
      <c r="K424" s="413">
        <v>-13.50055</v>
      </c>
      <c r="L424" s="393">
        <f t="shared" si="116"/>
        <v>1.0000407407407408</v>
      </c>
      <c r="M424" s="585"/>
    </row>
    <row r="425" spans="2:13" ht="15" customHeight="1" thickBot="1" x14ac:dyDescent="0.3">
      <c r="B425" s="548" t="s">
        <v>258</v>
      </c>
      <c r="C425" s="549"/>
      <c r="D425" s="549"/>
      <c r="E425" s="549"/>
      <c r="F425" s="549"/>
      <c r="G425" s="549"/>
      <c r="H425" s="549"/>
      <c r="I425" s="551"/>
      <c r="J425" s="372">
        <f>J421+J420+J419+J424+J423+J422</f>
        <v>2701.37</v>
      </c>
      <c r="K425" s="372">
        <f>K421+K420+K419+K424+K423+K422</f>
        <v>2510.1813799999995</v>
      </c>
      <c r="L425" s="373">
        <f t="shared" si="116"/>
        <v>0.92922531160115041</v>
      </c>
      <c r="M425" s="284">
        <f>M421+M420+M419+M424+M423+M422</f>
        <v>0</v>
      </c>
    </row>
    <row r="426" spans="2:13" ht="24" x14ac:dyDescent="0.25">
      <c r="B426" s="150" t="s">
        <v>131</v>
      </c>
      <c r="C426" s="148" t="s">
        <v>3</v>
      </c>
      <c r="D426" s="514">
        <v>680502</v>
      </c>
      <c r="E426" s="149" t="s">
        <v>364</v>
      </c>
      <c r="F426" s="149" t="s">
        <v>363</v>
      </c>
      <c r="G426" s="151" t="s">
        <v>260</v>
      </c>
      <c r="H426" s="210">
        <v>10</v>
      </c>
      <c r="I426" s="146" t="s">
        <v>458</v>
      </c>
      <c r="J426" s="389">
        <v>26171</v>
      </c>
      <c r="K426" s="147">
        <v>26166.04</v>
      </c>
      <c r="L426" s="375">
        <f t="shared" si="116"/>
        <v>0.99981047724580641</v>
      </c>
      <c r="M426" s="617"/>
    </row>
    <row r="427" spans="2:13" ht="24" x14ac:dyDescent="0.25">
      <c r="B427" s="13" t="s">
        <v>131</v>
      </c>
      <c r="C427" s="21" t="s">
        <v>3</v>
      </c>
      <c r="D427" s="38" t="s">
        <v>259</v>
      </c>
      <c r="E427" s="24" t="s">
        <v>364</v>
      </c>
      <c r="F427" s="23" t="s">
        <v>363</v>
      </c>
      <c r="G427" s="41" t="s">
        <v>260</v>
      </c>
      <c r="H427" s="82">
        <v>20</v>
      </c>
      <c r="I427" s="83" t="s">
        <v>459</v>
      </c>
      <c r="J427" s="361">
        <v>265</v>
      </c>
      <c r="K427" s="344">
        <v>262.83</v>
      </c>
      <c r="L427" s="393">
        <f t="shared" si="116"/>
        <v>0.9918113207547169</v>
      </c>
      <c r="M427" s="618"/>
    </row>
    <row r="428" spans="2:13" x14ac:dyDescent="0.25">
      <c r="B428" s="13" t="s">
        <v>131</v>
      </c>
      <c r="C428" s="21" t="s">
        <v>3</v>
      </c>
      <c r="D428" s="38" t="s">
        <v>259</v>
      </c>
      <c r="E428" s="24" t="s">
        <v>364</v>
      </c>
      <c r="F428" s="23" t="s">
        <v>363</v>
      </c>
      <c r="G428" s="41" t="s">
        <v>260</v>
      </c>
      <c r="H428" s="82" t="s">
        <v>190</v>
      </c>
      <c r="I428" s="41" t="s">
        <v>191</v>
      </c>
      <c r="J428" s="361">
        <v>60599</v>
      </c>
      <c r="K428" s="337">
        <v>60552.486490000003</v>
      </c>
      <c r="L428" s="393">
        <f t="shared" si="116"/>
        <v>0.99923243766398795</v>
      </c>
      <c r="M428" s="618"/>
    </row>
    <row r="429" spans="2:13" x14ac:dyDescent="0.25">
      <c r="B429" s="13" t="s">
        <v>131</v>
      </c>
      <c r="C429" s="21" t="s">
        <v>3</v>
      </c>
      <c r="D429" s="38" t="s">
        <v>259</v>
      </c>
      <c r="E429" s="24" t="s">
        <v>364</v>
      </c>
      <c r="F429" s="24" t="s">
        <v>363</v>
      </c>
      <c r="G429" s="41" t="s">
        <v>260</v>
      </c>
      <c r="H429" s="82">
        <v>591700</v>
      </c>
      <c r="I429" s="41" t="s">
        <v>263</v>
      </c>
      <c r="J429" s="361">
        <v>64</v>
      </c>
      <c r="K429" s="340">
        <v>63.966000000000001</v>
      </c>
      <c r="L429" s="393">
        <f t="shared" si="116"/>
        <v>0.99946875000000002</v>
      </c>
      <c r="M429" s="618"/>
    </row>
    <row r="430" spans="2:13" ht="48.75" thickBot="1" x14ac:dyDescent="0.3">
      <c r="B430" s="49" t="s">
        <v>131</v>
      </c>
      <c r="C430" s="105" t="s">
        <v>3</v>
      </c>
      <c r="D430" s="58" t="s">
        <v>259</v>
      </c>
      <c r="E430" s="99" t="s">
        <v>364</v>
      </c>
      <c r="F430" s="23" t="s">
        <v>363</v>
      </c>
      <c r="G430" s="105" t="s">
        <v>260</v>
      </c>
      <c r="H430" s="193">
        <v>850101</v>
      </c>
      <c r="I430" s="194" t="s">
        <v>365</v>
      </c>
      <c r="J430" s="363">
        <v>-141.68</v>
      </c>
      <c r="K430" s="331">
        <v>-143.14331000000001</v>
      </c>
      <c r="L430" s="393">
        <f t="shared" si="116"/>
        <v>1.0103282749858837</v>
      </c>
      <c r="M430" s="619"/>
    </row>
    <row r="431" spans="2:13" ht="15" customHeight="1" thickBot="1" x14ac:dyDescent="0.3">
      <c r="B431" s="548" t="s">
        <v>264</v>
      </c>
      <c r="C431" s="549"/>
      <c r="D431" s="549"/>
      <c r="E431" s="549"/>
      <c r="F431" s="549"/>
      <c r="G431" s="549"/>
      <c r="H431" s="549"/>
      <c r="I431" s="550"/>
      <c r="J431" s="372">
        <f>J426+J427+J428+J429+J430</f>
        <v>86957.32</v>
      </c>
      <c r="K431" s="421">
        <f>K426+K427+K428+K429+K430</f>
        <v>86902.179180000006</v>
      </c>
      <c r="L431" s="373">
        <f t="shared" si="116"/>
        <v>0.99936588639116297</v>
      </c>
      <c r="M431" s="284">
        <f>M426+M427+M428+M429+M430</f>
        <v>0</v>
      </c>
    </row>
    <row r="432" spans="2:13" x14ac:dyDescent="0.25">
      <c r="B432" s="32" t="s">
        <v>131</v>
      </c>
      <c r="C432" s="33" t="s">
        <v>3</v>
      </c>
      <c r="D432" s="57">
        <v>681000</v>
      </c>
      <c r="E432" s="34" t="s">
        <v>364</v>
      </c>
      <c r="F432" s="34" t="s">
        <v>363</v>
      </c>
      <c r="G432" s="40" t="s">
        <v>265</v>
      </c>
      <c r="H432" s="175">
        <v>200108</v>
      </c>
      <c r="I432" s="40" t="s">
        <v>261</v>
      </c>
      <c r="J432" s="360">
        <v>3</v>
      </c>
      <c r="K432" s="374">
        <v>2.2867999999999999</v>
      </c>
      <c r="L432" s="375">
        <f t="shared" si="116"/>
        <v>0.76226666666666665</v>
      </c>
      <c r="M432" s="287"/>
    </row>
    <row r="433" spans="2:13" ht="15.75" thickBot="1" x14ac:dyDescent="0.3">
      <c r="B433" s="14" t="s">
        <v>131</v>
      </c>
      <c r="C433" s="100" t="s">
        <v>3</v>
      </c>
      <c r="D433" s="39">
        <v>681000</v>
      </c>
      <c r="E433" s="25" t="s">
        <v>364</v>
      </c>
      <c r="F433" s="25" t="s">
        <v>363</v>
      </c>
      <c r="G433" s="87" t="s">
        <v>265</v>
      </c>
      <c r="H433" s="174">
        <v>570201</v>
      </c>
      <c r="I433" s="87" t="s">
        <v>150</v>
      </c>
      <c r="J433" s="376">
        <v>220</v>
      </c>
      <c r="K433" s="445">
        <v>205.54400000000001</v>
      </c>
      <c r="L433" s="378">
        <f t="shared" si="116"/>
        <v>0.93429090909090917</v>
      </c>
      <c r="M433" s="279"/>
    </row>
    <row r="434" spans="2:13" ht="15.75" thickBot="1" x14ac:dyDescent="0.3">
      <c r="B434" s="548" t="s">
        <v>266</v>
      </c>
      <c r="C434" s="549"/>
      <c r="D434" s="549"/>
      <c r="E434" s="549"/>
      <c r="F434" s="549"/>
      <c r="G434" s="549"/>
      <c r="H434" s="549"/>
      <c r="I434" s="550"/>
      <c r="J434" s="422">
        <f>SUM(J432:J433)</f>
        <v>223</v>
      </c>
      <c r="K434" s="421">
        <f t="shared" ref="K434" si="117">SUM(K432:K433)</f>
        <v>207.83080000000001</v>
      </c>
      <c r="L434" s="373">
        <f t="shared" si="116"/>
        <v>0.93197668161434988</v>
      </c>
      <c r="M434" s="284">
        <f>SUM(M432:M433)</f>
        <v>0</v>
      </c>
    </row>
    <row r="435" spans="2:13" ht="24" x14ac:dyDescent="0.25">
      <c r="B435" s="12" t="s">
        <v>131</v>
      </c>
      <c r="C435" s="20" t="s">
        <v>3</v>
      </c>
      <c r="D435" s="37" t="s">
        <v>267</v>
      </c>
      <c r="E435" s="23" t="s">
        <v>364</v>
      </c>
      <c r="F435" s="23" t="s">
        <v>363</v>
      </c>
      <c r="G435" s="79" t="s">
        <v>268</v>
      </c>
      <c r="H435" s="192">
        <v>10</v>
      </c>
      <c r="I435" s="207" t="s">
        <v>457</v>
      </c>
      <c r="J435" s="446">
        <v>706</v>
      </c>
      <c r="K435" s="447">
        <v>704.01</v>
      </c>
      <c r="L435" s="375">
        <f t="shared" si="116"/>
        <v>0.99718130311614728</v>
      </c>
      <c r="M435" s="583"/>
    </row>
    <row r="436" spans="2:13" x14ac:dyDescent="0.25">
      <c r="B436" s="13" t="s">
        <v>131</v>
      </c>
      <c r="C436" s="21" t="s">
        <v>3</v>
      </c>
      <c r="D436" s="38" t="s">
        <v>267</v>
      </c>
      <c r="E436" s="24" t="s">
        <v>364</v>
      </c>
      <c r="F436" s="23" t="s">
        <v>363</v>
      </c>
      <c r="G436" s="41" t="s">
        <v>268</v>
      </c>
      <c r="H436" s="82">
        <v>20</v>
      </c>
      <c r="I436" s="83" t="s">
        <v>149</v>
      </c>
      <c r="J436" s="361">
        <v>1762</v>
      </c>
      <c r="K436" s="436">
        <f>(10964.77+69490.24+17304.76+4895.67+1858.07+239973.14+930911.84+1516.66+1500+196)/1000</f>
        <v>1278.61115</v>
      </c>
      <c r="L436" s="393">
        <f t="shared" si="116"/>
        <v>0.7256589954597048</v>
      </c>
      <c r="M436" s="584"/>
    </row>
    <row r="437" spans="2:13" ht="24" x14ac:dyDescent="0.25">
      <c r="B437" s="55" t="s">
        <v>131</v>
      </c>
      <c r="C437" s="41" t="s">
        <v>3</v>
      </c>
      <c r="D437" s="38" t="s">
        <v>267</v>
      </c>
      <c r="E437" s="24" t="s">
        <v>364</v>
      </c>
      <c r="F437" s="23" t="s">
        <v>363</v>
      </c>
      <c r="G437" s="41" t="s">
        <v>268</v>
      </c>
      <c r="H437" s="82">
        <v>594000</v>
      </c>
      <c r="I437" s="41" t="s">
        <v>155</v>
      </c>
      <c r="J437" s="361">
        <v>6</v>
      </c>
      <c r="K437" s="409">
        <v>5.72</v>
      </c>
      <c r="L437" s="393">
        <f t="shared" si="116"/>
        <v>0.95333333333333325</v>
      </c>
      <c r="M437" s="584"/>
    </row>
    <row r="438" spans="2:13" ht="48.75" thickBot="1" x14ac:dyDescent="0.3">
      <c r="B438" s="186" t="s">
        <v>131</v>
      </c>
      <c r="C438" s="80" t="s">
        <v>3</v>
      </c>
      <c r="D438" s="101" t="s">
        <v>267</v>
      </c>
      <c r="E438" s="99" t="s">
        <v>364</v>
      </c>
      <c r="F438" s="23" t="s">
        <v>363</v>
      </c>
      <c r="G438" s="80" t="s">
        <v>268</v>
      </c>
      <c r="H438" s="191">
        <v>850101</v>
      </c>
      <c r="I438" s="117" t="s">
        <v>374</v>
      </c>
      <c r="J438" s="448">
        <v>-3.24</v>
      </c>
      <c r="K438" s="413">
        <v>-3.2410000000000001</v>
      </c>
      <c r="L438" s="393">
        <f t="shared" si="116"/>
        <v>1.0003086419753087</v>
      </c>
      <c r="M438" s="585"/>
    </row>
    <row r="439" spans="2:13" ht="15" customHeight="1" thickBot="1" x14ac:dyDescent="0.3">
      <c r="B439" s="548" t="s">
        <v>269</v>
      </c>
      <c r="C439" s="549"/>
      <c r="D439" s="549"/>
      <c r="E439" s="549"/>
      <c r="F439" s="549"/>
      <c r="G439" s="549"/>
      <c r="H439" s="549"/>
      <c r="I439" s="551"/>
      <c r="J439" s="372">
        <f>J435+J436+J437+J438</f>
        <v>2470.7600000000002</v>
      </c>
      <c r="K439" s="372">
        <f>K435+K436+K437+K438</f>
        <v>1985.10015</v>
      </c>
      <c r="L439" s="373">
        <f t="shared" si="116"/>
        <v>0.80343705985202929</v>
      </c>
      <c r="M439" s="284">
        <f>M435+M436+M437+M438</f>
        <v>0</v>
      </c>
    </row>
    <row r="440" spans="2:13" ht="26.25" customHeight="1" x14ac:dyDescent="0.25">
      <c r="B440" s="60" t="s">
        <v>131</v>
      </c>
      <c r="C440" s="79" t="s">
        <v>3</v>
      </c>
      <c r="D440" s="37" t="s">
        <v>270</v>
      </c>
      <c r="E440" s="34" t="s">
        <v>364</v>
      </c>
      <c r="F440" s="34" t="s">
        <v>363</v>
      </c>
      <c r="G440" s="79" t="s">
        <v>271</v>
      </c>
      <c r="H440" s="88">
        <v>10</v>
      </c>
      <c r="I440" s="494" t="s">
        <v>608</v>
      </c>
      <c r="J440" s="426">
        <v>18035</v>
      </c>
      <c r="K440" s="449">
        <v>18032.259999999998</v>
      </c>
      <c r="L440" s="390">
        <f t="shared" ref="L440:L449" si="118">K440/J440</f>
        <v>0.99984807319101743</v>
      </c>
      <c r="M440" s="583"/>
    </row>
    <row r="441" spans="2:13" ht="24" x14ac:dyDescent="0.25">
      <c r="B441" s="55" t="s">
        <v>131</v>
      </c>
      <c r="C441" s="41" t="s">
        <v>3</v>
      </c>
      <c r="D441" s="38" t="s">
        <v>270</v>
      </c>
      <c r="E441" s="23" t="s">
        <v>364</v>
      </c>
      <c r="F441" s="23" t="s">
        <v>363</v>
      </c>
      <c r="G441" s="41" t="s">
        <v>271</v>
      </c>
      <c r="H441" s="82">
        <v>20</v>
      </c>
      <c r="I441" s="314" t="s">
        <v>456</v>
      </c>
      <c r="J441" s="344">
        <v>4218</v>
      </c>
      <c r="K441" s="361">
        <v>3244.96</v>
      </c>
      <c r="L441" s="393">
        <f t="shared" si="118"/>
        <v>0.76931247036510197</v>
      </c>
      <c r="M441" s="586"/>
    </row>
    <row r="442" spans="2:13" ht="96" x14ac:dyDescent="0.25">
      <c r="B442" s="55" t="s">
        <v>131</v>
      </c>
      <c r="C442" s="41" t="s">
        <v>3</v>
      </c>
      <c r="D442" s="38">
        <v>685050</v>
      </c>
      <c r="E442" s="23" t="s">
        <v>364</v>
      </c>
      <c r="F442" s="23" t="s">
        <v>363</v>
      </c>
      <c r="G442" s="41" t="s">
        <v>271</v>
      </c>
      <c r="H442" s="86">
        <v>203030</v>
      </c>
      <c r="I442" s="55" t="s">
        <v>349</v>
      </c>
      <c r="J442" s="336">
        <v>395</v>
      </c>
      <c r="K442" s="394">
        <v>40.331049999999998</v>
      </c>
      <c r="L442" s="393">
        <f t="shared" si="118"/>
        <v>0.1021039240506329</v>
      </c>
      <c r="M442" s="112">
        <v>3000</v>
      </c>
    </row>
    <row r="443" spans="2:13" ht="24" x14ac:dyDescent="0.25">
      <c r="B443" s="55" t="s">
        <v>131</v>
      </c>
      <c r="C443" s="41" t="s">
        <v>3</v>
      </c>
      <c r="D443" s="38">
        <v>685050</v>
      </c>
      <c r="E443" s="23" t="s">
        <v>362</v>
      </c>
      <c r="F443" s="23" t="s">
        <v>363</v>
      </c>
      <c r="G443" s="41" t="s">
        <v>271</v>
      </c>
      <c r="H443" s="85">
        <v>5602</v>
      </c>
      <c r="I443" s="125" t="s">
        <v>591</v>
      </c>
      <c r="J443" s="336">
        <f>J444+J445</f>
        <v>0</v>
      </c>
      <c r="K443" s="411">
        <f>K444+K445</f>
        <v>0</v>
      </c>
      <c r="L443" s="393"/>
      <c r="M443" s="112">
        <f>M444+M445</f>
        <v>65</v>
      </c>
    </row>
    <row r="444" spans="2:13" ht="24" x14ac:dyDescent="0.25">
      <c r="B444" s="55" t="s">
        <v>131</v>
      </c>
      <c r="C444" s="41" t="s">
        <v>3</v>
      </c>
      <c r="D444" s="38">
        <v>685050</v>
      </c>
      <c r="E444" s="23" t="s">
        <v>362</v>
      </c>
      <c r="F444" s="23" t="s">
        <v>363</v>
      </c>
      <c r="G444" s="41" t="s">
        <v>271</v>
      </c>
      <c r="H444" s="24">
        <v>560201</v>
      </c>
      <c r="I444" s="55" t="s">
        <v>503</v>
      </c>
      <c r="J444" s="336">
        <v>0</v>
      </c>
      <c r="K444" s="394">
        <v>0</v>
      </c>
      <c r="L444" s="393"/>
      <c r="M444" s="110">
        <v>10</v>
      </c>
    </row>
    <row r="445" spans="2:13" ht="24" x14ac:dyDescent="0.25">
      <c r="B445" s="55" t="s">
        <v>131</v>
      </c>
      <c r="C445" s="41" t="s">
        <v>3</v>
      </c>
      <c r="D445" s="38">
        <v>685050</v>
      </c>
      <c r="E445" s="23" t="s">
        <v>362</v>
      </c>
      <c r="F445" s="23" t="s">
        <v>363</v>
      </c>
      <c r="G445" s="41" t="s">
        <v>271</v>
      </c>
      <c r="H445" s="24">
        <v>560202</v>
      </c>
      <c r="I445" s="55" t="s">
        <v>504</v>
      </c>
      <c r="J445" s="336">
        <v>0</v>
      </c>
      <c r="K445" s="394">
        <v>0</v>
      </c>
      <c r="L445" s="393"/>
      <c r="M445" s="110">
        <v>55</v>
      </c>
    </row>
    <row r="446" spans="2:13" ht="24" x14ac:dyDescent="0.25">
      <c r="B446" s="55" t="s">
        <v>131</v>
      </c>
      <c r="C446" s="41" t="s">
        <v>3</v>
      </c>
      <c r="D446" s="38">
        <v>685050</v>
      </c>
      <c r="E446" s="23" t="s">
        <v>364</v>
      </c>
      <c r="F446" s="23" t="s">
        <v>363</v>
      </c>
      <c r="G446" s="41" t="s">
        <v>271</v>
      </c>
      <c r="H446" s="86">
        <v>57</v>
      </c>
      <c r="I446" s="314" t="s">
        <v>345</v>
      </c>
      <c r="J446" s="344">
        <f>J447+J448</f>
        <v>6551</v>
      </c>
      <c r="K446" s="450">
        <f t="shared" ref="K446" si="119">K447+K448</f>
        <v>5726.5502800000004</v>
      </c>
      <c r="L446" s="393">
        <f t="shared" si="118"/>
        <v>0.87414902762936963</v>
      </c>
      <c r="M446" s="112">
        <f>M447+M448</f>
        <v>0</v>
      </c>
    </row>
    <row r="447" spans="2:13" ht="24" x14ac:dyDescent="0.25">
      <c r="B447" s="55" t="s">
        <v>131</v>
      </c>
      <c r="C447" s="41" t="s">
        <v>3</v>
      </c>
      <c r="D447" s="38">
        <v>685050</v>
      </c>
      <c r="E447" s="23" t="s">
        <v>364</v>
      </c>
      <c r="F447" s="23" t="s">
        <v>363</v>
      </c>
      <c r="G447" s="41" t="s">
        <v>271</v>
      </c>
      <c r="H447" s="38">
        <v>570201</v>
      </c>
      <c r="I447" s="55" t="s">
        <v>150</v>
      </c>
      <c r="J447" s="336">
        <v>1598</v>
      </c>
      <c r="K447" s="394">
        <v>1180</v>
      </c>
      <c r="L447" s="393">
        <f t="shared" si="118"/>
        <v>0.73842302878598243</v>
      </c>
      <c r="M447" s="587"/>
    </row>
    <row r="448" spans="2:13" ht="24" x14ac:dyDescent="0.25">
      <c r="B448" s="55" t="s">
        <v>131</v>
      </c>
      <c r="C448" s="41" t="s">
        <v>3</v>
      </c>
      <c r="D448" s="38">
        <v>685050</v>
      </c>
      <c r="E448" s="23" t="s">
        <v>364</v>
      </c>
      <c r="F448" s="23" t="s">
        <v>363</v>
      </c>
      <c r="G448" s="41" t="s">
        <v>271</v>
      </c>
      <c r="H448" s="38">
        <v>570202</v>
      </c>
      <c r="I448" s="55" t="s">
        <v>272</v>
      </c>
      <c r="J448" s="336">
        <v>4953</v>
      </c>
      <c r="K448" s="394">
        <v>4546.5502800000004</v>
      </c>
      <c r="L448" s="393">
        <f t="shared" si="118"/>
        <v>0.91793867958812847</v>
      </c>
      <c r="M448" s="588"/>
    </row>
    <row r="449" spans="2:13" ht="24" x14ac:dyDescent="0.25">
      <c r="B449" s="55" t="s">
        <v>131</v>
      </c>
      <c r="C449" s="41" t="s">
        <v>3</v>
      </c>
      <c r="D449" s="38">
        <v>685050</v>
      </c>
      <c r="E449" s="23" t="s">
        <v>364</v>
      </c>
      <c r="F449" s="23" t="s">
        <v>363</v>
      </c>
      <c r="G449" s="41" t="s">
        <v>271</v>
      </c>
      <c r="H449" s="82">
        <v>59</v>
      </c>
      <c r="I449" s="314" t="s">
        <v>343</v>
      </c>
      <c r="J449" s="344">
        <f>J450+J451</f>
        <v>647</v>
      </c>
      <c r="K449" s="450">
        <f t="shared" ref="K449" si="120">K450+K451</f>
        <v>645.59399999999994</v>
      </c>
      <c r="L449" s="393">
        <f t="shared" si="118"/>
        <v>0.99782689335394115</v>
      </c>
      <c r="M449" s="112">
        <f>M450+M451</f>
        <v>0</v>
      </c>
    </row>
    <row r="450" spans="2:13" ht="24" x14ac:dyDescent="0.25">
      <c r="B450" s="55" t="s">
        <v>131</v>
      </c>
      <c r="C450" s="41" t="s">
        <v>3</v>
      </c>
      <c r="D450" s="38">
        <v>685050</v>
      </c>
      <c r="E450" s="23" t="s">
        <v>364</v>
      </c>
      <c r="F450" s="23" t="s">
        <v>363</v>
      </c>
      <c r="G450" s="41" t="s">
        <v>271</v>
      </c>
      <c r="H450" s="38">
        <v>591700</v>
      </c>
      <c r="I450" s="55" t="s">
        <v>263</v>
      </c>
      <c r="J450" s="336">
        <v>555</v>
      </c>
      <c r="K450" s="394">
        <v>554.35199999999998</v>
      </c>
      <c r="L450" s="393">
        <f t="shared" ref="L450:L478" si="121">K450/J450</f>
        <v>0.99883243243243236</v>
      </c>
      <c r="M450" s="587"/>
    </row>
    <row r="451" spans="2:13" ht="24" x14ac:dyDescent="0.25">
      <c r="B451" s="55" t="s">
        <v>131</v>
      </c>
      <c r="C451" s="41" t="s">
        <v>3</v>
      </c>
      <c r="D451" s="38">
        <v>685050</v>
      </c>
      <c r="E451" s="23" t="s">
        <v>364</v>
      </c>
      <c r="F451" s="23" t="s">
        <v>363</v>
      </c>
      <c r="G451" s="41" t="s">
        <v>271</v>
      </c>
      <c r="H451" s="38" t="s">
        <v>154</v>
      </c>
      <c r="I451" s="55" t="s">
        <v>155</v>
      </c>
      <c r="J451" s="336">
        <v>92</v>
      </c>
      <c r="K451" s="394">
        <v>91.242000000000004</v>
      </c>
      <c r="L451" s="393">
        <f t="shared" si="121"/>
        <v>0.99176086956521747</v>
      </c>
      <c r="M451" s="588"/>
    </row>
    <row r="452" spans="2:13" ht="48.75" x14ac:dyDescent="0.25">
      <c r="B452" s="55" t="s">
        <v>131</v>
      </c>
      <c r="C452" s="41" t="s">
        <v>3</v>
      </c>
      <c r="D452" s="38">
        <v>685050</v>
      </c>
      <c r="E452" s="24" t="s">
        <v>362</v>
      </c>
      <c r="F452" s="24" t="s">
        <v>363</v>
      </c>
      <c r="G452" s="41" t="s">
        <v>271</v>
      </c>
      <c r="H452" s="82">
        <v>60</v>
      </c>
      <c r="I452" s="315" t="s">
        <v>510</v>
      </c>
      <c r="J452" s="344">
        <f>J453+J454+J455+0</f>
        <v>1923</v>
      </c>
      <c r="K452" s="450">
        <f t="shared" ref="K452" si="122">K453+K454+K455+0</f>
        <v>0</v>
      </c>
      <c r="L452" s="393">
        <f t="shared" si="121"/>
        <v>0</v>
      </c>
      <c r="M452" s="112">
        <f>M453+M454+M455+0</f>
        <v>4906.05</v>
      </c>
    </row>
    <row r="453" spans="2:13" ht="24" x14ac:dyDescent="0.25">
      <c r="B453" s="55" t="s">
        <v>131</v>
      </c>
      <c r="C453" s="41" t="s">
        <v>3</v>
      </c>
      <c r="D453" s="38" t="s">
        <v>270</v>
      </c>
      <c r="E453" s="24" t="s">
        <v>362</v>
      </c>
      <c r="F453" s="24" t="s">
        <v>363</v>
      </c>
      <c r="G453" s="41" t="s">
        <v>271</v>
      </c>
      <c r="H453" s="38">
        <v>600100</v>
      </c>
      <c r="I453" s="55" t="s">
        <v>103</v>
      </c>
      <c r="J453" s="336">
        <v>1500</v>
      </c>
      <c r="K453" s="394">
        <v>0</v>
      </c>
      <c r="L453" s="393">
        <f t="shared" si="121"/>
        <v>0</v>
      </c>
      <c r="M453" s="110">
        <v>3342.34</v>
      </c>
    </row>
    <row r="454" spans="2:13" ht="24" x14ac:dyDescent="0.25">
      <c r="B454" s="55" t="s">
        <v>131</v>
      </c>
      <c r="C454" s="41" t="s">
        <v>3</v>
      </c>
      <c r="D454" s="38" t="s">
        <v>270</v>
      </c>
      <c r="E454" s="24" t="s">
        <v>362</v>
      </c>
      <c r="F454" s="24" t="s">
        <v>363</v>
      </c>
      <c r="G454" s="41" t="s">
        <v>271</v>
      </c>
      <c r="H454" s="38">
        <v>600200</v>
      </c>
      <c r="I454" s="55" t="s">
        <v>105</v>
      </c>
      <c r="J454" s="336">
        <v>138</v>
      </c>
      <c r="K454" s="394">
        <v>0</v>
      </c>
      <c r="L454" s="393">
        <f t="shared" si="121"/>
        <v>0</v>
      </c>
      <c r="M454" s="110">
        <v>928.67</v>
      </c>
    </row>
    <row r="455" spans="2:13" ht="24" x14ac:dyDescent="0.25">
      <c r="B455" s="55" t="s">
        <v>131</v>
      </c>
      <c r="C455" s="41" t="s">
        <v>3</v>
      </c>
      <c r="D455" s="38" t="s">
        <v>270</v>
      </c>
      <c r="E455" s="24" t="s">
        <v>362</v>
      </c>
      <c r="F455" s="24" t="s">
        <v>363</v>
      </c>
      <c r="G455" s="41" t="s">
        <v>271</v>
      </c>
      <c r="H455" s="38">
        <v>600300</v>
      </c>
      <c r="I455" s="55" t="s">
        <v>107</v>
      </c>
      <c r="J455" s="336">
        <v>285</v>
      </c>
      <c r="K455" s="394">
        <v>0</v>
      </c>
      <c r="L455" s="393">
        <f t="shared" si="121"/>
        <v>0</v>
      </c>
      <c r="M455" s="110">
        <v>635.04</v>
      </c>
    </row>
    <row r="456" spans="2:13" ht="24" x14ac:dyDescent="0.25">
      <c r="B456" s="55" t="s">
        <v>131</v>
      </c>
      <c r="C456" s="41" t="s">
        <v>3</v>
      </c>
      <c r="D456" s="38" t="s">
        <v>270</v>
      </c>
      <c r="E456" s="24" t="s">
        <v>362</v>
      </c>
      <c r="F456" s="24" t="s">
        <v>363</v>
      </c>
      <c r="G456" s="41" t="s">
        <v>271</v>
      </c>
      <c r="H456" s="82">
        <v>71</v>
      </c>
      <c r="I456" s="314" t="s">
        <v>342</v>
      </c>
      <c r="J456" s="344">
        <f>J457+J460+J458+J459</f>
        <v>555</v>
      </c>
      <c r="K456" s="450">
        <f>K457+K460</f>
        <v>55.93</v>
      </c>
      <c r="L456" s="393">
        <f t="shared" si="121"/>
        <v>0.10077477477477477</v>
      </c>
      <c r="M456" s="112">
        <f>M457+M460+M458+M459</f>
        <v>95</v>
      </c>
    </row>
    <row r="457" spans="2:13" ht="24" x14ac:dyDescent="0.25">
      <c r="B457" s="55" t="s">
        <v>131</v>
      </c>
      <c r="C457" s="41" t="s">
        <v>3</v>
      </c>
      <c r="D457" s="38" t="s">
        <v>270</v>
      </c>
      <c r="E457" s="24" t="s">
        <v>362</v>
      </c>
      <c r="F457" s="24" t="s">
        <v>363</v>
      </c>
      <c r="G457" s="41" t="s">
        <v>271</v>
      </c>
      <c r="H457" s="38" t="s">
        <v>209</v>
      </c>
      <c r="I457" s="55" t="s">
        <v>565</v>
      </c>
      <c r="J457" s="336">
        <v>0</v>
      </c>
      <c r="K457" s="394">
        <v>0</v>
      </c>
      <c r="L457" s="393">
        <v>0</v>
      </c>
      <c r="M457" s="587"/>
    </row>
    <row r="458" spans="2:13" ht="24" x14ac:dyDescent="0.25">
      <c r="B458" s="55" t="s">
        <v>131</v>
      </c>
      <c r="C458" s="41" t="s">
        <v>3</v>
      </c>
      <c r="D458" s="38" t="s">
        <v>270</v>
      </c>
      <c r="E458" s="24" t="s">
        <v>362</v>
      </c>
      <c r="F458" s="24" t="s">
        <v>363</v>
      </c>
      <c r="G458" s="41" t="s">
        <v>271</v>
      </c>
      <c r="H458" s="38" t="s">
        <v>158</v>
      </c>
      <c r="I458" s="55" t="s">
        <v>566</v>
      </c>
      <c r="J458" s="336">
        <v>0</v>
      </c>
      <c r="K458" s="394">
        <v>0</v>
      </c>
      <c r="L458" s="393">
        <v>0</v>
      </c>
      <c r="M458" s="589"/>
    </row>
    <row r="459" spans="2:13" ht="24" x14ac:dyDescent="0.25">
      <c r="B459" s="55" t="s">
        <v>131</v>
      </c>
      <c r="C459" s="41" t="s">
        <v>3</v>
      </c>
      <c r="D459" s="38" t="s">
        <v>270</v>
      </c>
      <c r="E459" s="24" t="s">
        <v>362</v>
      </c>
      <c r="F459" s="24" t="s">
        <v>363</v>
      </c>
      <c r="G459" s="41" t="s">
        <v>271</v>
      </c>
      <c r="H459" s="38" t="s">
        <v>209</v>
      </c>
      <c r="I459" s="314" t="s">
        <v>567</v>
      </c>
      <c r="J459" s="336">
        <v>300</v>
      </c>
      <c r="K459" s="394">
        <v>0</v>
      </c>
      <c r="L459" s="393">
        <f t="shared" si="121"/>
        <v>0</v>
      </c>
      <c r="M459" s="588"/>
    </row>
    <row r="460" spans="2:13" ht="24" x14ac:dyDescent="0.25">
      <c r="B460" s="55" t="s">
        <v>131</v>
      </c>
      <c r="C460" s="41" t="s">
        <v>3</v>
      </c>
      <c r="D460" s="38" t="s">
        <v>270</v>
      </c>
      <c r="E460" s="24" t="s">
        <v>362</v>
      </c>
      <c r="F460" s="24" t="s">
        <v>355</v>
      </c>
      <c r="G460" s="41" t="s">
        <v>271</v>
      </c>
      <c r="H460" s="38" t="s">
        <v>158</v>
      </c>
      <c r="I460" s="314" t="s">
        <v>561</v>
      </c>
      <c r="J460" s="336">
        <v>255</v>
      </c>
      <c r="K460" s="394">
        <v>55.93</v>
      </c>
      <c r="L460" s="393">
        <f t="shared" si="121"/>
        <v>0.21933333333333332</v>
      </c>
      <c r="M460" s="275">
        <v>95</v>
      </c>
    </row>
    <row r="461" spans="2:13" ht="48.75" thickBot="1" x14ac:dyDescent="0.3">
      <c r="B461" s="186" t="s">
        <v>131</v>
      </c>
      <c r="C461" s="80" t="s">
        <v>3</v>
      </c>
      <c r="D461" s="101" t="s">
        <v>270</v>
      </c>
      <c r="E461" s="23" t="s">
        <v>362</v>
      </c>
      <c r="F461" s="99" t="s">
        <v>355</v>
      </c>
      <c r="G461" s="80" t="s">
        <v>271</v>
      </c>
      <c r="H461" s="101">
        <v>850101</v>
      </c>
      <c r="I461" s="316" t="s">
        <v>374</v>
      </c>
      <c r="J461" s="451">
        <v>-109.46</v>
      </c>
      <c r="K461" s="452">
        <v>-111.37801</v>
      </c>
      <c r="L461" s="393">
        <f t="shared" si="121"/>
        <v>1.0175224739630917</v>
      </c>
      <c r="M461" s="472"/>
    </row>
    <row r="462" spans="2:13" ht="15" customHeight="1" thickBot="1" x14ac:dyDescent="0.3">
      <c r="B462" s="548" t="s">
        <v>273</v>
      </c>
      <c r="C462" s="549"/>
      <c r="D462" s="549"/>
      <c r="E462" s="549"/>
      <c r="F462" s="549"/>
      <c r="G462" s="549"/>
      <c r="H462" s="549"/>
      <c r="I462" s="551"/>
      <c r="J462" s="372">
        <f>J456+J452+J449+J446+J441+J440+J442+J461</f>
        <v>32214.54</v>
      </c>
      <c r="K462" s="372">
        <f>K456+K452+K449+K446+K441+K440+K442+K461</f>
        <v>27634.247319999999</v>
      </c>
      <c r="L462" s="373">
        <f t="shared" si="121"/>
        <v>0.85781908790254335</v>
      </c>
      <c r="M462" s="284">
        <f>M456+M452+M449+M446+M441+M440+M442+M461</f>
        <v>8001.05</v>
      </c>
    </row>
    <row r="463" spans="2:13" ht="26.25" customHeight="1" thickBot="1" x14ac:dyDescent="0.3">
      <c r="B463" s="55" t="s">
        <v>131</v>
      </c>
      <c r="C463" s="41" t="s">
        <v>3</v>
      </c>
      <c r="D463" s="555">
        <v>68</v>
      </c>
      <c r="E463" s="19"/>
      <c r="F463" s="19"/>
      <c r="G463" s="558"/>
      <c r="H463" s="22"/>
      <c r="I463" s="138" t="s">
        <v>486</v>
      </c>
      <c r="J463" s="370">
        <f>J440+J435+J426+J419</f>
        <v>46752</v>
      </c>
      <c r="K463" s="370">
        <f>K440+K435+K426+K419</f>
        <v>46737.78</v>
      </c>
      <c r="L463" s="379">
        <f t="shared" si="121"/>
        <v>0.99969584188911698</v>
      </c>
      <c r="M463" s="280">
        <f>M440+M435+M426+M419</f>
        <v>0</v>
      </c>
    </row>
    <row r="464" spans="2:13" ht="26.25" customHeight="1" thickBot="1" x14ac:dyDescent="0.3">
      <c r="B464" s="55"/>
      <c r="C464" s="41"/>
      <c r="D464" s="556"/>
      <c r="E464" s="19"/>
      <c r="F464" s="19"/>
      <c r="G464" s="559"/>
      <c r="H464" s="22"/>
      <c r="I464" s="138" t="s">
        <v>452</v>
      </c>
      <c r="J464" s="370">
        <f>J442</f>
        <v>395</v>
      </c>
      <c r="K464" s="370">
        <f>K442</f>
        <v>40.331049999999998</v>
      </c>
      <c r="L464" s="379">
        <f>K464/J464</f>
        <v>0.1021039240506329</v>
      </c>
      <c r="M464" s="280">
        <f>M442</f>
        <v>3000</v>
      </c>
    </row>
    <row r="465" spans="2:13" ht="21" customHeight="1" thickBot="1" x14ac:dyDescent="0.3">
      <c r="B465" s="55" t="s">
        <v>131</v>
      </c>
      <c r="C465" s="41" t="s">
        <v>3</v>
      </c>
      <c r="D465" s="556"/>
      <c r="E465" s="19"/>
      <c r="F465" s="19"/>
      <c r="G465" s="559"/>
      <c r="H465" s="22"/>
      <c r="I465" s="319" t="s">
        <v>597</v>
      </c>
      <c r="J465" s="370">
        <f>J441+J436+J427+J420+J442+J432-J464</f>
        <v>7107</v>
      </c>
      <c r="K465" s="370">
        <f>K441+K436+K427+K420+K442+K432-K464</f>
        <v>5461.747949999999</v>
      </c>
      <c r="L465" s="379">
        <f t="shared" si="121"/>
        <v>0.76850259603208093</v>
      </c>
      <c r="M465" s="280">
        <f>M441+M436+M427+M420+M442+M432-M464</f>
        <v>0</v>
      </c>
    </row>
    <row r="466" spans="2:13" ht="15" customHeight="1" thickBot="1" x14ac:dyDescent="0.3">
      <c r="B466" s="55" t="s">
        <v>131</v>
      </c>
      <c r="C466" s="41" t="s">
        <v>3</v>
      </c>
      <c r="D466" s="556"/>
      <c r="E466" s="19"/>
      <c r="F466" s="19"/>
      <c r="G466" s="559"/>
      <c r="H466" s="22"/>
      <c r="I466" s="138" t="s">
        <v>598</v>
      </c>
      <c r="J466" s="370">
        <f>J446+J428+J433</f>
        <v>67370</v>
      </c>
      <c r="K466" s="370">
        <f>K446+K433++K428</f>
        <v>66484.58077</v>
      </c>
      <c r="L466" s="379">
        <f t="shared" si="121"/>
        <v>0.98685736633516408</v>
      </c>
      <c r="M466" s="280">
        <f>M446+M428+M433</f>
        <v>0</v>
      </c>
    </row>
    <row r="467" spans="2:13" ht="15" customHeight="1" thickBot="1" x14ac:dyDescent="0.3">
      <c r="B467" s="55" t="s">
        <v>131</v>
      </c>
      <c r="C467" s="41" t="s">
        <v>3</v>
      </c>
      <c r="D467" s="556"/>
      <c r="E467" s="19"/>
      <c r="F467" s="19"/>
      <c r="G467" s="559"/>
      <c r="H467" s="22"/>
      <c r="I467" s="138" t="s">
        <v>599</v>
      </c>
      <c r="J467" s="370">
        <f>J449+J437+J429+J421</f>
        <v>731</v>
      </c>
      <c r="K467" s="370">
        <f>K449+K437+K429+K421</f>
        <v>729</v>
      </c>
      <c r="L467" s="379">
        <f t="shared" si="121"/>
        <v>0.99726402188782493</v>
      </c>
      <c r="M467" s="280">
        <f>M449+M437+M429+M421</f>
        <v>0</v>
      </c>
    </row>
    <row r="468" spans="2:13" ht="33" customHeight="1" thickBot="1" x14ac:dyDescent="0.3">
      <c r="B468" s="55"/>
      <c r="C468" s="41"/>
      <c r="D468" s="556"/>
      <c r="E468" s="19"/>
      <c r="F468" s="19"/>
      <c r="G468" s="559"/>
      <c r="H468" s="22"/>
      <c r="I468" s="495" t="s">
        <v>595</v>
      </c>
      <c r="J468" s="496">
        <f>J463+J465+J466+J467</f>
        <v>121960</v>
      </c>
      <c r="K468" s="496">
        <f>K463+K465+K466+K467-K442</f>
        <v>119372.77767</v>
      </c>
      <c r="L468" s="497">
        <f t="shared" si="121"/>
        <v>0.97878630428009183</v>
      </c>
      <c r="M468" s="498">
        <v>121239</v>
      </c>
    </row>
    <row r="469" spans="2:13" ht="24.75" thickBot="1" x14ac:dyDescent="0.3">
      <c r="B469" s="55"/>
      <c r="C469" s="41"/>
      <c r="D469" s="556"/>
      <c r="E469" s="19"/>
      <c r="F469" s="19"/>
      <c r="G469" s="559"/>
      <c r="H469" s="22">
        <v>56</v>
      </c>
      <c r="I469" s="126" t="s">
        <v>596</v>
      </c>
      <c r="J469" s="370">
        <f>J443</f>
        <v>0</v>
      </c>
      <c r="K469" s="370">
        <f>K443</f>
        <v>0</v>
      </c>
      <c r="L469" s="379" t="e">
        <f>K469/J469</f>
        <v>#DIV/0!</v>
      </c>
      <c r="M469" s="280">
        <f>M443</f>
        <v>65</v>
      </c>
    </row>
    <row r="470" spans="2:13" ht="48.75" thickBot="1" x14ac:dyDescent="0.3">
      <c r="B470" s="55" t="s">
        <v>131</v>
      </c>
      <c r="C470" s="41" t="s">
        <v>3</v>
      </c>
      <c r="D470" s="556"/>
      <c r="E470" s="19"/>
      <c r="F470" s="19"/>
      <c r="G470" s="559"/>
      <c r="H470" s="22">
        <v>60</v>
      </c>
      <c r="I470" s="196" t="s">
        <v>593</v>
      </c>
      <c r="J470" s="370">
        <f>J452</f>
        <v>1923</v>
      </c>
      <c r="K470" s="370">
        <f t="shared" ref="K470" si="123">K452</f>
        <v>0</v>
      </c>
      <c r="L470" s="379">
        <f t="shared" si="121"/>
        <v>0</v>
      </c>
      <c r="M470" s="280">
        <f>M452</f>
        <v>4906.05</v>
      </c>
    </row>
    <row r="471" spans="2:13" ht="15" customHeight="1" thickBot="1" x14ac:dyDescent="0.3">
      <c r="B471" s="55" t="s">
        <v>131</v>
      </c>
      <c r="C471" s="41" t="s">
        <v>3</v>
      </c>
      <c r="D471" s="556"/>
      <c r="E471" s="19"/>
      <c r="F471" s="19"/>
      <c r="G471" s="559"/>
      <c r="H471" s="22">
        <v>71</v>
      </c>
      <c r="I471" s="138" t="s">
        <v>600</v>
      </c>
      <c r="J471" s="370">
        <f>J422+J457+J458</f>
        <v>9</v>
      </c>
      <c r="K471" s="370">
        <f>K422+K457+K458</f>
        <v>8.5639299999999992</v>
      </c>
      <c r="L471" s="379">
        <f t="shared" si="121"/>
        <v>0.95154777777777766</v>
      </c>
      <c r="M471" s="280">
        <f>M422+M457+M458</f>
        <v>0</v>
      </c>
    </row>
    <row r="472" spans="2:13" ht="15" customHeight="1" thickBot="1" x14ac:dyDescent="0.3">
      <c r="B472" s="55"/>
      <c r="C472" s="41"/>
      <c r="D472" s="556"/>
      <c r="E472" s="19"/>
      <c r="F472" s="19"/>
      <c r="G472" s="559"/>
      <c r="H472" s="22">
        <v>71</v>
      </c>
      <c r="I472" s="138" t="s">
        <v>454</v>
      </c>
      <c r="J472" s="370">
        <f>J459+J460</f>
        <v>555</v>
      </c>
      <c r="K472" s="370">
        <f>K459+K460</f>
        <v>55.93</v>
      </c>
      <c r="L472" s="379"/>
      <c r="M472" s="280">
        <f>M459+M460</f>
        <v>95</v>
      </c>
    </row>
    <row r="473" spans="2:13" ht="48.75" thickBot="1" x14ac:dyDescent="0.3">
      <c r="B473" s="55"/>
      <c r="C473" s="41"/>
      <c r="D473" s="556"/>
      <c r="E473" s="19"/>
      <c r="F473" s="19"/>
      <c r="G473" s="559"/>
      <c r="H473" s="22">
        <v>850101</v>
      </c>
      <c r="I473" s="176" t="s">
        <v>374</v>
      </c>
      <c r="J473" s="370">
        <f>J461+J423+J438+J430</f>
        <v>-261.51</v>
      </c>
      <c r="K473" s="370">
        <f>K461+K423+K438+K430</f>
        <v>-264.89431999999999</v>
      </c>
      <c r="L473" s="379">
        <f t="shared" si="121"/>
        <v>1.0129414553936753</v>
      </c>
      <c r="M473" s="280">
        <f>M461+M423+M438+M430</f>
        <v>0</v>
      </c>
    </row>
    <row r="474" spans="2:13" ht="48.75" thickBot="1" x14ac:dyDescent="0.3">
      <c r="B474" s="55" t="s">
        <v>131</v>
      </c>
      <c r="C474" s="41" t="s">
        <v>3</v>
      </c>
      <c r="D474" s="556"/>
      <c r="E474" s="19"/>
      <c r="F474" s="19"/>
      <c r="G474" s="560"/>
      <c r="H474" s="22">
        <v>850102</v>
      </c>
      <c r="I474" s="130" t="s">
        <v>365</v>
      </c>
      <c r="J474" s="370">
        <f>J424</f>
        <v>-13.5</v>
      </c>
      <c r="K474" s="370">
        <f>K424</f>
        <v>-13.50055</v>
      </c>
      <c r="L474" s="379">
        <f t="shared" si="121"/>
        <v>1.0000407407407408</v>
      </c>
      <c r="M474" s="280">
        <f>M424</f>
        <v>0</v>
      </c>
    </row>
    <row r="475" spans="2:13" s="173" customFormat="1" ht="15" customHeight="1" thickBot="1" x14ac:dyDescent="0.3">
      <c r="B475" s="172"/>
      <c r="C475" s="172"/>
      <c r="D475" s="556"/>
      <c r="E475" s="172" t="s">
        <v>364</v>
      </c>
      <c r="F475" s="561" t="s">
        <v>466</v>
      </c>
      <c r="G475" s="562"/>
      <c r="H475" s="562"/>
      <c r="I475" s="563"/>
      <c r="J475" s="366">
        <f>J463+J465+J466+J467+J473</f>
        <v>121698.49</v>
      </c>
      <c r="K475" s="366">
        <f t="shared" ref="K475" si="124">K463+K465+K466+K467+K473</f>
        <v>119148.21439999998</v>
      </c>
      <c r="L475" s="383">
        <f t="shared" si="121"/>
        <v>0.9790443118891613</v>
      </c>
      <c r="M475" s="465">
        <f>M468+M464</f>
        <v>124239</v>
      </c>
    </row>
    <row r="476" spans="2:13" s="173" customFormat="1" ht="15" customHeight="1" thickBot="1" x14ac:dyDescent="0.3">
      <c r="B476" s="172"/>
      <c r="C476" s="172"/>
      <c r="D476" s="557"/>
      <c r="E476" s="172" t="s">
        <v>362</v>
      </c>
      <c r="F476" s="561" t="s">
        <v>467</v>
      </c>
      <c r="G476" s="562"/>
      <c r="H476" s="562"/>
      <c r="I476" s="563"/>
      <c r="J476" s="366">
        <f>J470+J471+J474+J469+J472</f>
        <v>2473.5</v>
      </c>
      <c r="K476" s="366">
        <f>K469+K470+K471+K472+K474</f>
        <v>50.993380000000002</v>
      </c>
      <c r="L476" s="383">
        <f t="shared" si="121"/>
        <v>2.0615880331514048E-2</v>
      </c>
      <c r="M476" s="465">
        <f>M470+M471+M474+M469+M472</f>
        <v>5066.05</v>
      </c>
    </row>
    <row r="477" spans="2:13" s="173" customFormat="1" ht="15" customHeight="1" thickBot="1" x14ac:dyDescent="0.3">
      <c r="B477" s="545" t="s">
        <v>321</v>
      </c>
      <c r="C477" s="546"/>
      <c r="D477" s="546"/>
      <c r="E477" s="546"/>
      <c r="F477" s="546"/>
      <c r="G477" s="546"/>
      <c r="H477" s="546"/>
      <c r="I477" s="547"/>
      <c r="J477" s="356">
        <f>J463+J465+J466+J467+J470+J471+J473+J474</f>
        <v>123616.99</v>
      </c>
      <c r="K477" s="356">
        <f t="shared" ref="K477" si="125">K463+K465+K466+K467+K470+K471+K473+K474</f>
        <v>119143.27777999999</v>
      </c>
      <c r="L477" s="453">
        <f t="shared" si="121"/>
        <v>0.96380989198976597</v>
      </c>
      <c r="M477" s="283">
        <f>M475+M476</f>
        <v>129305.05</v>
      </c>
    </row>
    <row r="478" spans="2:13" x14ac:dyDescent="0.25">
      <c r="B478" s="60" t="s">
        <v>131</v>
      </c>
      <c r="C478" s="79" t="s">
        <v>3</v>
      </c>
      <c r="D478" s="37" t="s">
        <v>274</v>
      </c>
      <c r="E478" s="34" t="s">
        <v>362</v>
      </c>
      <c r="F478" s="34" t="s">
        <v>355</v>
      </c>
      <c r="G478" s="79" t="s">
        <v>275</v>
      </c>
      <c r="H478" s="37" t="s">
        <v>192</v>
      </c>
      <c r="I478" s="40" t="s">
        <v>151</v>
      </c>
      <c r="J478" s="360">
        <v>39</v>
      </c>
      <c r="K478" s="349">
        <v>7.50115</v>
      </c>
      <c r="L478" s="390">
        <f t="shared" si="121"/>
        <v>0.19233717948717949</v>
      </c>
      <c r="M478" s="271"/>
    </row>
    <row r="479" spans="2:13" x14ac:dyDescent="0.25">
      <c r="B479" s="55" t="s">
        <v>131</v>
      </c>
      <c r="C479" s="41" t="s">
        <v>3</v>
      </c>
      <c r="D479" s="38" t="s">
        <v>274</v>
      </c>
      <c r="E479" s="24" t="s">
        <v>362</v>
      </c>
      <c r="F479" s="24" t="s">
        <v>355</v>
      </c>
      <c r="G479" s="41" t="s">
        <v>275</v>
      </c>
      <c r="H479" s="38" t="s">
        <v>193</v>
      </c>
      <c r="I479" s="41" t="s">
        <v>152</v>
      </c>
      <c r="J479" s="361">
        <v>0</v>
      </c>
      <c r="K479" s="340">
        <v>0</v>
      </c>
      <c r="L479" s="393">
        <v>0</v>
      </c>
      <c r="M479" s="275"/>
    </row>
    <row r="480" spans="2:13" x14ac:dyDescent="0.25">
      <c r="B480" s="55" t="s">
        <v>131</v>
      </c>
      <c r="C480" s="41" t="s">
        <v>3</v>
      </c>
      <c r="D480" s="38" t="s">
        <v>274</v>
      </c>
      <c r="E480" s="24" t="s">
        <v>362</v>
      </c>
      <c r="F480" s="24" t="s">
        <v>355</v>
      </c>
      <c r="G480" s="41" t="s">
        <v>275</v>
      </c>
      <c r="H480" s="82" t="s">
        <v>194</v>
      </c>
      <c r="I480" s="41" t="s">
        <v>195</v>
      </c>
      <c r="J480" s="361">
        <v>750</v>
      </c>
      <c r="K480" s="340">
        <v>321.69941</v>
      </c>
      <c r="L480" s="393">
        <f t="shared" ref="L480:L492" si="126">K480/J480</f>
        <v>0.42893254666666669</v>
      </c>
      <c r="M480" s="275">
        <v>187</v>
      </c>
    </row>
    <row r="481" spans="2:13" ht="36.75" x14ac:dyDescent="0.25">
      <c r="B481" s="55" t="s">
        <v>131</v>
      </c>
      <c r="C481" s="41" t="s">
        <v>3</v>
      </c>
      <c r="D481" s="38" t="s">
        <v>274</v>
      </c>
      <c r="E481" s="24" t="s">
        <v>362</v>
      </c>
      <c r="F481" s="24" t="s">
        <v>355</v>
      </c>
      <c r="G481" s="41" t="s">
        <v>275</v>
      </c>
      <c r="H481" s="82">
        <v>61</v>
      </c>
      <c r="I481" s="84" t="s">
        <v>443</v>
      </c>
      <c r="J481" s="361">
        <f>J482+J483+J484</f>
        <v>16803</v>
      </c>
      <c r="K481" s="344">
        <f>K482+K483+K484</f>
        <v>447.41633999999999</v>
      </c>
      <c r="L481" s="393">
        <f t="shared" si="126"/>
        <v>2.6627170148187822E-2</v>
      </c>
      <c r="M481" s="275">
        <f>M482+M483+M484</f>
        <v>32561</v>
      </c>
    </row>
    <row r="482" spans="2:13" ht="24" x14ac:dyDescent="0.25">
      <c r="B482" s="55" t="s">
        <v>131</v>
      </c>
      <c r="C482" s="41" t="s">
        <v>3</v>
      </c>
      <c r="D482" s="38" t="s">
        <v>274</v>
      </c>
      <c r="E482" s="24" t="s">
        <v>362</v>
      </c>
      <c r="F482" s="24" t="s">
        <v>355</v>
      </c>
      <c r="G482" s="41" t="s">
        <v>275</v>
      </c>
      <c r="H482" s="38" t="s">
        <v>202</v>
      </c>
      <c r="I482" s="41" t="s">
        <v>203</v>
      </c>
      <c r="J482" s="361">
        <v>14076</v>
      </c>
      <c r="K482" s="340">
        <v>353.88923</v>
      </c>
      <c r="L482" s="393">
        <f t="shared" si="126"/>
        <v>2.5141320687695368E-2</v>
      </c>
      <c r="M482" s="275">
        <v>27071</v>
      </c>
    </row>
    <row r="483" spans="2:13" x14ac:dyDescent="0.25">
      <c r="B483" s="55" t="s">
        <v>131</v>
      </c>
      <c r="C483" s="41" t="s">
        <v>3</v>
      </c>
      <c r="D483" s="38" t="s">
        <v>274</v>
      </c>
      <c r="E483" s="24" t="s">
        <v>362</v>
      </c>
      <c r="F483" s="24" t="s">
        <v>355</v>
      </c>
      <c r="G483" s="41" t="s">
        <v>275</v>
      </c>
      <c r="H483" s="38">
        <v>610200</v>
      </c>
      <c r="I483" s="41" t="s">
        <v>105</v>
      </c>
      <c r="J483" s="361">
        <v>52</v>
      </c>
      <c r="K483" s="340">
        <v>26.288160000000001</v>
      </c>
      <c r="L483" s="393">
        <f t="shared" si="126"/>
        <v>0.50554153846153849</v>
      </c>
      <c r="M483" s="275">
        <v>346</v>
      </c>
    </row>
    <row r="484" spans="2:13" x14ac:dyDescent="0.25">
      <c r="B484" s="55" t="s">
        <v>131</v>
      </c>
      <c r="C484" s="41" t="s">
        <v>3</v>
      </c>
      <c r="D484" s="38" t="s">
        <v>274</v>
      </c>
      <c r="E484" s="24" t="s">
        <v>362</v>
      </c>
      <c r="F484" s="24" t="s">
        <v>355</v>
      </c>
      <c r="G484" s="41" t="s">
        <v>275</v>
      </c>
      <c r="H484" s="38" t="s">
        <v>205</v>
      </c>
      <c r="I484" s="41" t="s">
        <v>107</v>
      </c>
      <c r="J484" s="361">
        <v>2675</v>
      </c>
      <c r="K484" s="340">
        <v>67.238950000000003</v>
      </c>
      <c r="L484" s="393">
        <f t="shared" si="126"/>
        <v>2.5136056074766357E-2</v>
      </c>
      <c r="M484" s="275">
        <v>5144</v>
      </c>
    </row>
    <row r="485" spans="2:13" x14ac:dyDescent="0.25">
      <c r="B485" s="55" t="s">
        <v>131</v>
      </c>
      <c r="C485" s="41" t="s">
        <v>3</v>
      </c>
      <c r="D485" s="38" t="s">
        <v>274</v>
      </c>
      <c r="E485" s="24" t="s">
        <v>362</v>
      </c>
      <c r="F485" s="23" t="s">
        <v>355</v>
      </c>
      <c r="G485" s="41" t="s">
        <v>275</v>
      </c>
      <c r="H485" s="38" t="s">
        <v>158</v>
      </c>
      <c r="I485" s="83" t="s">
        <v>561</v>
      </c>
      <c r="J485" s="361">
        <v>340</v>
      </c>
      <c r="K485" s="340">
        <v>143.61621</v>
      </c>
      <c r="L485" s="393">
        <f t="shared" si="126"/>
        <v>0.42240061764705883</v>
      </c>
      <c r="M485" s="275">
        <v>856</v>
      </c>
    </row>
    <row r="486" spans="2:13" ht="48.75" thickBot="1" x14ac:dyDescent="0.3">
      <c r="B486" s="89" t="s">
        <v>131</v>
      </c>
      <c r="C486" s="80" t="s">
        <v>3</v>
      </c>
      <c r="D486" s="58" t="s">
        <v>274</v>
      </c>
      <c r="E486" s="99" t="s">
        <v>362</v>
      </c>
      <c r="F486" s="23" t="s">
        <v>355</v>
      </c>
      <c r="G486" s="80" t="s">
        <v>275</v>
      </c>
      <c r="H486" s="58">
        <v>850102</v>
      </c>
      <c r="I486" s="117" t="s">
        <v>365</v>
      </c>
      <c r="J486" s="363">
        <v>-2.4</v>
      </c>
      <c r="K486" s="420">
        <v>-2.4293900000000002</v>
      </c>
      <c r="L486" s="393">
        <f t="shared" si="126"/>
        <v>1.0122458333333335</v>
      </c>
      <c r="M486" s="266"/>
    </row>
    <row r="487" spans="2:13" ht="15" customHeight="1" thickBot="1" x14ac:dyDescent="0.3">
      <c r="B487" s="548" t="s">
        <v>276</v>
      </c>
      <c r="C487" s="549"/>
      <c r="D487" s="549"/>
      <c r="E487" s="549"/>
      <c r="F487" s="549"/>
      <c r="G487" s="549"/>
      <c r="H487" s="549"/>
      <c r="I487" s="551"/>
      <c r="J487" s="372">
        <f>J478+J479+J480+J481+J485+J486</f>
        <v>17929.599999999999</v>
      </c>
      <c r="K487" s="372">
        <f>K478+K479+K480+K481+K485+K486</f>
        <v>917.80372</v>
      </c>
      <c r="L487" s="373">
        <f t="shared" si="126"/>
        <v>5.1189302605746924E-2</v>
      </c>
      <c r="M487" s="284">
        <f>M478+M479+M480+M481+M485+M486</f>
        <v>33604</v>
      </c>
    </row>
    <row r="488" spans="2:13" ht="24" x14ac:dyDescent="0.25">
      <c r="B488" s="92" t="s">
        <v>131</v>
      </c>
      <c r="C488" s="40" t="s">
        <v>3</v>
      </c>
      <c r="D488" s="57" t="s">
        <v>277</v>
      </c>
      <c r="E488" s="34" t="s">
        <v>364</v>
      </c>
      <c r="F488" s="34" t="s">
        <v>355</v>
      </c>
      <c r="G488" s="40" t="s">
        <v>278</v>
      </c>
      <c r="H488" s="57">
        <v>200103</v>
      </c>
      <c r="I488" s="133" t="s">
        <v>410</v>
      </c>
      <c r="J488" s="407">
        <v>10445</v>
      </c>
      <c r="K488" s="402">
        <v>9638.9929800000009</v>
      </c>
      <c r="L488" s="390">
        <f t="shared" si="126"/>
        <v>0.92283321972235532</v>
      </c>
      <c r="M488" s="276">
        <v>13760</v>
      </c>
    </row>
    <row r="489" spans="2:13" x14ac:dyDescent="0.25">
      <c r="B489" s="55" t="s">
        <v>131</v>
      </c>
      <c r="C489" s="41" t="s">
        <v>3</v>
      </c>
      <c r="D489" s="38" t="s">
        <v>277</v>
      </c>
      <c r="E489" s="24" t="s">
        <v>362</v>
      </c>
      <c r="F489" s="24" t="s">
        <v>355</v>
      </c>
      <c r="G489" s="41" t="s">
        <v>278</v>
      </c>
      <c r="H489" s="38">
        <v>580101</v>
      </c>
      <c r="I489" s="79" t="s">
        <v>151</v>
      </c>
      <c r="J489" s="361">
        <v>347</v>
      </c>
      <c r="K489" s="409">
        <v>245.64013</v>
      </c>
      <c r="L489" s="393">
        <f t="shared" si="126"/>
        <v>0.70789662824207489</v>
      </c>
      <c r="M489" s="275"/>
    </row>
    <row r="490" spans="2:13" ht="15.75" thickBot="1" x14ac:dyDescent="0.3">
      <c r="B490" s="56" t="s">
        <v>131</v>
      </c>
      <c r="C490" s="42" t="s">
        <v>3</v>
      </c>
      <c r="D490" s="69" t="s">
        <v>277</v>
      </c>
      <c r="E490" s="25" t="s">
        <v>362</v>
      </c>
      <c r="F490" s="25" t="s">
        <v>355</v>
      </c>
      <c r="G490" s="42" t="s">
        <v>278</v>
      </c>
      <c r="H490" s="69" t="s">
        <v>158</v>
      </c>
      <c r="I490" s="42" t="s">
        <v>159</v>
      </c>
      <c r="J490" s="429">
        <v>40</v>
      </c>
      <c r="K490" s="403">
        <v>0</v>
      </c>
      <c r="L490" s="378">
        <f t="shared" si="126"/>
        <v>0</v>
      </c>
      <c r="M490" s="277"/>
    </row>
    <row r="491" spans="2:13" ht="15.75" thickBot="1" x14ac:dyDescent="0.3">
      <c r="B491" s="548" t="s">
        <v>279</v>
      </c>
      <c r="C491" s="549"/>
      <c r="D491" s="549"/>
      <c r="E491" s="549"/>
      <c r="F491" s="549"/>
      <c r="G491" s="549"/>
      <c r="H491" s="549"/>
      <c r="I491" s="551"/>
      <c r="J491" s="372">
        <f t="shared" ref="J491" si="127">SUM(J488:J490)</f>
        <v>10832</v>
      </c>
      <c r="K491" s="372">
        <f t="shared" ref="K491" si="128">SUM(K488:K490)</f>
        <v>9884.6331100000007</v>
      </c>
      <c r="L491" s="373">
        <f t="shared" si="126"/>
        <v>0.91253998430576078</v>
      </c>
      <c r="M491" s="284">
        <f t="shared" ref="M491" si="129">SUM(M488:M490)</f>
        <v>13760</v>
      </c>
    </row>
    <row r="492" spans="2:13" ht="24" x14ac:dyDescent="0.25">
      <c r="B492" s="136"/>
      <c r="C492" s="40" t="s">
        <v>3</v>
      </c>
      <c r="D492" s="37" t="s">
        <v>280</v>
      </c>
      <c r="E492" s="23" t="s">
        <v>364</v>
      </c>
      <c r="F492" s="23" t="s">
        <v>363</v>
      </c>
      <c r="G492" s="79" t="s">
        <v>281</v>
      </c>
      <c r="H492" s="103">
        <v>10</v>
      </c>
      <c r="I492" s="137" t="s">
        <v>417</v>
      </c>
      <c r="J492" s="360">
        <v>20111</v>
      </c>
      <c r="K492" s="431">
        <v>20082.580000000002</v>
      </c>
      <c r="L492" s="390">
        <f t="shared" si="126"/>
        <v>0.99858684302123224</v>
      </c>
      <c r="M492" s="287">
        <v>0</v>
      </c>
    </row>
    <row r="493" spans="2:13" ht="24" x14ac:dyDescent="0.25">
      <c r="B493" s="55" t="s">
        <v>131</v>
      </c>
      <c r="C493" s="41" t="s">
        <v>3</v>
      </c>
      <c r="D493" s="38">
        <v>705000</v>
      </c>
      <c r="E493" s="24" t="s">
        <v>364</v>
      </c>
      <c r="F493" s="24" t="s">
        <v>363</v>
      </c>
      <c r="G493" s="41" t="s">
        <v>281</v>
      </c>
      <c r="H493" s="82">
        <v>20</v>
      </c>
      <c r="I493" s="83" t="s">
        <v>416</v>
      </c>
      <c r="J493" s="361">
        <v>2720</v>
      </c>
      <c r="K493" s="436">
        <v>2277.7399999999998</v>
      </c>
      <c r="L493" s="375">
        <f t="shared" ref="L493:L505" si="130">K493/J493</f>
        <v>0.83740441176470581</v>
      </c>
      <c r="M493" s="112"/>
    </row>
    <row r="494" spans="2:13" ht="24" x14ac:dyDescent="0.25">
      <c r="B494" s="55" t="s">
        <v>131</v>
      </c>
      <c r="C494" s="41" t="s">
        <v>3</v>
      </c>
      <c r="D494" s="38" t="s">
        <v>280</v>
      </c>
      <c r="E494" s="24" t="s">
        <v>364</v>
      </c>
      <c r="F494" s="24" t="s">
        <v>355</v>
      </c>
      <c r="G494" s="41" t="s">
        <v>281</v>
      </c>
      <c r="H494" s="82">
        <v>20</v>
      </c>
      <c r="I494" s="83" t="s">
        <v>415</v>
      </c>
      <c r="J494" s="361">
        <f>J495+J496+J497</f>
        <v>37806.42</v>
      </c>
      <c r="K494" s="436">
        <f>K495+K496+K497</f>
        <v>35683.062170000005</v>
      </c>
      <c r="L494" s="375">
        <f t="shared" si="130"/>
        <v>0.94383605139021376</v>
      </c>
      <c r="M494" s="112">
        <f>M495+M496+M497</f>
        <v>36236</v>
      </c>
    </row>
    <row r="495" spans="2:13" ht="36" x14ac:dyDescent="0.25">
      <c r="B495" s="55" t="s">
        <v>131</v>
      </c>
      <c r="C495" s="41" t="s">
        <v>3</v>
      </c>
      <c r="D495" s="38" t="s">
        <v>280</v>
      </c>
      <c r="E495" s="24" t="s">
        <v>364</v>
      </c>
      <c r="F495" s="24" t="s">
        <v>355</v>
      </c>
      <c r="G495" s="41" t="s">
        <v>281</v>
      </c>
      <c r="H495" s="131">
        <v>200109</v>
      </c>
      <c r="I495" s="134" t="s">
        <v>411</v>
      </c>
      <c r="J495" s="361">
        <v>66</v>
      </c>
      <c r="K495" s="409">
        <v>60.480559999999997</v>
      </c>
      <c r="L495" s="375">
        <f t="shared" si="130"/>
        <v>0.91637212121212119</v>
      </c>
      <c r="M495" s="112">
        <v>61</v>
      </c>
    </row>
    <row r="496" spans="2:13" ht="24" x14ac:dyDescent="0.25">
      <c r="B496" s="55" t="s">
        <v>131</v>
      </c>
      <c r="C496" s="41" t="s">
        <v>3</v>
      </c>
      <c r="D496" s="38" t="s">
        <v>280</v>
      </c>
      <c r="E496" s="24" t="s">
        <v>364</v>
      </c>
      <c r="F496" s="24" t="s">
        <v>355</v>
      </c>
      <c r="G496" s="41" t="s">
        <v>281</v>
      </c>
      <c r="H496" s="131">
        <v>200130</v>
      </c>
      <c r="I496" s="135" t="s">
        <v>412</v>
      </c>
      <c r="J496" s="361">
        <v>36640.42</v>
      </c>
      <c r="K496" s="436">
        <v>34746.122280000003</v>
      </c>
      <c r="L496" s="375">
        <f t="shared" si="130"/>
        <v>0.94830032734340941</v>
      </c>
      <c r="M496" s="112">
        <v>35175</v>
      </c>
    </row>
    <row r="497" spans="2:13" ht="24" x14ac:dyDescent="0.25">
      <c r="B497" s="55" t="s">
        <v>131</v>
      </c>
      <c r="C497" s="41" t="s">
        <v>3</v>
      </c>
      <c r="D497" s="38" t="s">
        <v>280</v>
      </c>
      <c r="E497" s="24" t="s">
        <v>364</v>
      </c>
      <c r="F497" s="24" t="s">
        <v>355</v>
      </c>
      <c r="G497" s="41" t="s">
        <v>281</v>
      </c>
      <c r="H497" s="38">
        <v>200200</v>
      </c>
      <c r="I497" s="41" t="s">
        <v>413</v>
      </c>
      <c r="J497" s="361">
        <v>1100</v>
      </c>
      <c r="K497" s="436">
        <v>876.45933000000002</v>
      </c>
      <c r="L497" s="375">
        <f t="shared" si="130"/>
        <v>0.7967812090909091</v>
      </c>
      <c r="M497" s="112">
        <v>1000</v>
      </c>
    </row>
    <row r="498" spans="2:13" ht="24" x14ac:dyDescent="0.25">
      <c r="B498" s="55" t="s">
        <v>131</v>
      </c>
      <c r="C498" s="41" t="s">
        <v>3</v>
      </c>
      <c r="D498" s="38" t="s">
        <v>280</v>
      </c>
      <c r="E498" s="24" t="s">
        <v>364</v>
      </c>
      <c r="F498" s="24" t="s">
        <v>363</v>
      </c>
      <c r="G498" s="41" t="s">
        <v>281</v>
      </c>
      <c r="H498" s="38">
        <v>594000</v>
      </c>
      <c r="I498" s="83" t="s">
        <v>610</v>
      </c>
      <c r="J498" s="361">
        <v>180</v>
      </c>
      <c r="K498" s="436">
        <v>175.738</v>
      </c>
      <c r="L498" s="375">
        <f t="shared" si="130"/>
        <v>0.9763222222222222</v>
      </c>
      <c r="M498" s="112"/>
    </row>
    <row r="499" spans="2:13" ht="24" x14ac:dyDescent="0.25">
      <c r="B499" s="55" t="s">
        <v>131</v>
      </c>
      <c r="C499" s="41" t="s">
        <v>3</v>
      </c>
      <c r="D499" s="38" t="s">
        <v>280</v>
      </c>
      <c r="E499" s="24" t="s">
        <v>362</v>
      </c>
      <c r="F499" s="24" t="s">
        <v>355</v>
      </c>
      <c r="G499" s="41" t="s">
        <v>281</v>
      </c>
      <c r="H499" s="82">
        <v>600100</v>
      </c>
      <c r="I499" s="41" t="s">
        <v>282</v>
      </c>
      <c r="J499" s="361">
        <v>5539</v>
      </c>
      <c r="K499" s="409">
        <v>0</v>
      </c>
      <c r="L499" s="375">
        <f t="shared" si="130"/>
        <v>0</v>
      </c>
      <c r="M499" s="112">
        <v>5539</v>
      </c>
    </row>
    <row r="500" spans="2:13" ht="24" x14ac:dyDescent="0.25">
      <c r="B500" s="55" t="s">
        <v>131</v>
      </c>
      <c r="C500" s="41" t="s">
        <v>3</v>
      </c>
      <c r="D500" s="38">
        <v>705000</v>
      </c>
      <c r="E500" s="24" t="s">
        <v>362</v>
      </c>
      <c r="F500" s="24" t="s">
        <v>355</v>
      </c>
      <c r="G500" s="41" t="s">
        <v>281</v>
      </c>
      <c r="H500" s="82">
        <v>600103</v>
      </c>
      <c r="I500" s="41" t="s">
        <v>107</v>
      </c>
      <c r="J500" s="361">
        <v>1052</v>
      </c>
      <c r="K500" s="409">
        <v>0</v>
      </c>
      <c r="L500" s="375">
        <f t="shared" si="130"/>
        <v>0</v>
      </c>
      <c r="M500" s="112">
        <v>1052</v>
      </c>
    </row>
    <row r="501" spans="2:13" ht="24" x14ac:dyDescent="0.25">
      <c r="B501" s="55" t="s">
        <v>131</v>
      </c>
      <c r="C501" s="41" t="s">
        <v>3</v>
      </c>
      <c r="D501" s="38" t="s">
        <v>280</v>
      </c>
      <c r="E501" s="24" t="s">
        <v>362</v>
      </c>
      <c r="F501" s="24" t="s">
        <v>355</v>
      </c>
      <c r="G501" s="41" t="s">
        <v>281</v>
      </c>
      <c r="H501" s="82" t="s">
        <v>202</v>
      </c>
      <c r="I501" s="41" t="s">
        <v>203</v>
      </c>
      <c r="J501" s="361">
        <v>3569</v>
      </c>
      <c r="K501" s="409">
        <v>0</v>
      </c>
      <c r="L501" s="375">
        <f t="shared" si="130"/>
        <v>0</v>
      </c>
      <c r="M501" s="112">
        <v>3569</v>
      </c>
    </row>
    <row r="502" spans="2:13" ht="24" x14ac:dyDescent="0.25">
      <c r="B502" s="55" t="s">
        <v>131</v>
      </c>
      <c r="C502" s="41" t="s">
        <v>3</v>
      </c>
      <c r="D502" s="38" t="s">
        <v>280</v>
      </c>
      <c r="E502" s="24" t="s">
        <v>362</v>
      </c>
      <c r="F502" s="24" t="s">
        <v>355</v>
      </c>
      <c r="G502" s="41" t="s">
        <v>281</v>
      </c>
      <c r="H502" s="82" t="s">
        <v>205</v>
      </c>
      <c r="I502" s="41" t="s">
        <v>107</v>
      </c>
      <c r="J502" s="361">
        <v>678</v>
      </c>
      <c r="K502" s="409">
        <v>0</v>
      </c>
      <c r="L502" s="375">
        <f t="shared" si="130"/>
        <v>0</v>
      </c>
      <c r="M502" s="112">
        <v>678</v>
      </c>
    </row>
    <row r="503" spans="2:13" ht="24" x14ac:dyDescent="0.25">
      <c r="B503" s="55" t="s">
        <v>131</v>
      </c>
      <c r="C503" s="41" t="s">
        <v>3</v>
      </c>
      <c r="D503" s="38">
        <v>705000</v>
      </c>
      <c r="E503" s="24" t="s">
        <v>362</v>
      </c>
      <c r="F503" s="24" t="s">
        <v>355</v>
      </c>
      <c r="G503" s="41" t="s">
        <v>281</v>
      </c>
      <c r="H503" s="38">
        <v>710103</v>
      </c>
      <c r="I503" s="41" t="s">
        <v>563</v>
      </c>
      <c r="J503" s="361">
        <v>0</v>
      </c>
      <c r="K503" s="409">
        <v>0</v>
      </c>
      <c r="L503" s="375"/>
      <c r="M503" s="112">
        <v>81</v>
      </c>
    </row>
    <row r="504" spans="2:13" ht="24" x14ac:dyDescent="0.25">
      <c r="B504" s="55" t="s">
        <v>131</v>
      </c>
      <c r="C504" s="41" t="s">
        <v>3</v>
      </c>
      <c r="D504" s="38" t="s">
        <v>280</v>
      </c>
      <c r="E504" s="24" t="s">
        <v>362</v>
      </c>
      <c r="F504" s="24" t="s">
        <v>355</v>
      </c>
      <c r="G504" s="41" t="s">
        <v>281</v>
      </c>
      <c r="H504" s="38" t="s">
        <v>158</v>
      </c>
      <c r="I504" s="83" t="s">
        <v>561</v>
      </c>
      <c r="J504" s="361">
        <v>2756.39</v>
      </c>
      <c r="K504" s="409">
        <v>1038.21775</v>
      </c>
      <c r="L504" s="375">
        <f t="shared" si="130"/>
        <v>0.37665850986253763</v>
      </c>
      <c r="M504" s="112">
        <v>6468.61</v>
      </c>
    </row>
    <row r="505" spans="2:13" ht="48" x14ac:dyDescent="0.25">
      <c r="B505" s="55" t="s">
        <v>131</v>
      </c>
      <c r="C505" s="41" t="s">
        <v>3</v>
      </c>
      <c r="D505" s="38">
        <v>705000</v>
      </c>
      <c r="E505" s="24" t="s">
        <v>364</v>
      </c>
      <c r="F505" s="24" t="s">
        <v>355</v>
      </c>
      <c r="G505" s="41" t="s">
        <v>281</v>
      </c>
      <c r="H505" s="24">
        <v>850101</v>
      </c>
      <c r="I505" s="41" t="s">
        <v>305</v>
      </c>
      <c r="J505" s="361">
        <v>-10.07</v>
      </c>
      <c r="K505" s="436">
        <v>-10.07113</v>
      </c>
      <c r="L505" s="375">
        <f t="shared" si="130"/>
        <v>1.0001122144985104</v>
      </c>
      <c r="M505" s="112"/>
    </row>
    <row r="506" spans="2:13" ht="48.75" thickBot="1" x14ac:dyDescent="0.3">
      <c r="B506" s="55" t="s">
        <v>131</v>
      </c>
      <c r="C506" s="41" t="s">
        <v>3</v>
      </c>
      <c r="D506" s="38" t="s">
        <v>280</v>
      </c>
      <c r="E506" s="24" t="s">
        <v>362</v>
      </c>
      <c r="F506" s="101" t="s">
        <v>355</v>
      </c>
      <c r="G506" s="41" t="s">
        <v>281</v>
      </c>
      <c r="H506" s="101">
        <v>850102</v>
      </c>
      <c r="I506" s="80" t="s">
        <v>414</v>
      </c>
      <c r="J506" s="360">
        <v>0</v>
      </c>
      <c r="K506" s="432">
        <v>0</v>
      </c>
      <c r="L506" s="375">
        <v>0</v>
      </c>
      <c r="M506" s="271"/>
    </row>
    <row r="507" spans="2:13" ht="15" customHeight="1" thickBot="1" x14ac:dyDescent="0.3">
      <c r="B507" s="548" t="s">
        <v>283</v>
      </c>
      <c r="C507" s="549"/>
      <c r="D507" s="549"/>
      <c r="E507" s="549"/>
      <c r="F507" s="549"/>
      <c r="G507" s="549"/>
      <c r="H507" s="549"/>
      <c r="I507" s="551"/>
      <c r="J507" s="372">
        <f>J492+J493+J494+J498+J499+J500+J501+J502+J504+J505+J506</f>
        <v>74401.739999999991</v>
      </c>
      <c r="K507" s="372">
        <f>K492+K493+K494+K498+K499+K500+K501+K502+K504+K505+K506</f>
        <v>59247.266790000009</v>
      </c>
      <c r="L507" s="373">
        <f t="shared" ref="L507:L522" si="131">K507/J507</f>
        <v>0.79631560753821107</v>
      </c>
      <c r="M507" s="284">
        <f>M492+M493+M494+M498+M499+M500+M501+M502+M504+M505+M506</f>
        <v>53542.61</v>
      </c>
    </row>
    <row r="508" spans="2:13" ht="31.5" customHeight="1" thickBot="1" x14ac:dyDescent="0.3">
      <c r="B508" s="95" t="s">
        <v>131</v>
      </c>
      <c r="C508" s="59" t="s">
        <v>3</v>
      </c>
      <c r="D508" s="555">
        <v>70</v>
      </c>
      <c r="E508" s="22" t="s">
        <v>364</v>
      </c>
      <c r="F508" s="242"/>
      <c r="G508" s="540" t="s">
        <v>445</v>
      </c>
      <c r="H508" s="15">
        <v>10</v>
      </c>
      <c r="I508" s="138" t="s">
        <v>418</v>
      </c>
      <c r="J508" s="11">
        <f>J492</f>
        <v>20111</v>
      </c>
      <c r="K508" s="370">
        <f>K492</f>
        <v>20082.580000000002</v>
      </c>
      <c r="L508" s="379">
        <f t="shared" si="131"/>
        <v>0.99858684302123224</v>
      </c>
      <c r="M508" s="583"/>
    </row>
    <row r="509" spans="2:13" ht="15.75" thickBot="1" x14ac:dyDescent="0.3">
      <c r="B509" s="89" t="s">
        <v>131</v>
      </c>
      <c r="C509" s="105" t="s">
        <v>3</v>
      </c>
      <c r="D509" s="556"/>
      <c r="E509" s="22" t="s">
        <v>364</v>
      </c>
      <c r="F509" s="242"/>
      <c r="G509" s="541"/>
      <c r="H509" s="15">
        <v>20</v>
      </c>
      <c r="I509" s="138" t="s">
        <v>419</v>
      </c>
      <c r="J509" s="11">
        <f>J493</f>
        <v>2720</v>
      </c>
      <c r="K509" s="370">
        <f t="shared" ref="K509" si="132">K493</f>
        <v>2277.7399999999998</v>
      </c>
      <c r="L509" s="379">
        <f t="shared" si="131"/>
        <v>0.83740441176470581</v>
      </c>
      <c r="M509" s="585"/>
    </row>
    <row r="510" spans="2:13" ht="15.75" thickBot="1" x14ac:dyDescent="0.3">
      <c r="B510" s="95" t="s">
        <v>131</v>
      </c>
      <c r="C510" s="59" t="s">
        <v>3</v>
      </c>
      <c r="D510" s="556"/>
      <c r="E510" s="22" t="s">
        <v>364</v>
      </c>
      <c r="F510" s="242"/>
      <c r="G510" s="541"/>
      <c r="H510" s="15">
        <v>20</v>
      </c>
      <c r="I510" s="138" t="s">
        <v>441</v>
      </c>
      <c r="J510" s="11">
        <f>J494+J488</f>
        <v>48251.42</v>
      </c>
      <c r="K510" s="370">
        <f>K494+K488</f>
        <v>45322.055150000007</v>
      </c>
      <c r="L510" s="379">
        <f t="shared" si="131"/>
        <v>0.93928956184087453</v>
      </c>
      <c r="M510" s="280">
        <f>M494+M488</f>
        <v>49996</v>
      </c>
    </row>
    <row r="511" spans="2:13" ht="48.75" thickBot="1" x14ac:dyDescent="0.3">
      <c r="B511" s="95" t="s">
        <v>131</v>
      </c>
      <c r="C511" s="59" t="s">
        <v>3</v>
      </c>
      <c r="D511" s="556"/>
      <c r="E511" s="22" t="s">
        <v>362</v>
      </c>
      <c r="F511" s="242"/>
      <c r="G511" s="541"/>
      <c r="H511" s="15">
        <v>58</v>
      </c>
      <c r="I511" s="126" t="s">
        <v>399</v>
      </c>
      <c r="J511" s="11">
        <f>J489+J480+J479+J478</f>
        <v>1136</v>
      </c>
      <c r="K511" s="370">
        <f>K489+K480+K479+K478</f>
        <v>574.84069</v>
      </c>
      <c r="L511" s="379">
        <f t="shared" si="131"/>
        <v>0.50602173415492957</v>
      </c>
      <c r="M511" s="280">
        <f>M489+M480+M479+M478</f>
        <v>187</v>
      </c>
    </row>
    <row r="512" spans="2:13" ht="24.75" thickBot="1" x14ac:dyDescent="0.3">
      <c r="B512" s="95" t="s">
        <v>131</v>
      </c>
      <c r="C512" s="59" t="s">
        <v>3</v>
      </c>
      <c r="D512" s="556"/>
      <c r="E512" s="22" t="s">
        <v>364</v>
      </c>
      <c r="F512" s="242"/>
      <c r="G512" s="541"/>
      <c r="H512" s="15">
        <v>59</v>
      </c>
      <c r="I512" s="195" t="str">
        <f>I498</f>
        <v>Sume aferente persoanelor cu handicap neincadrate - SPFL-</v>
      </c>
      <c r="J512" s="11">
        <f t="shared" ref="J512" si="133">J498</f>
        <v>180</v>
      </c>
      <c r="K512" s="370">
        <f t="shared" ref="K512" si="134">K498</f>
        <v>175.738</v>
      </c>
      <c r="L512" s="379">
        <f t="shared" si="131"/>
        <v>0.9763222222222222</v>
      </c>
      <c r="M512" s="280"/>
    </row>
    <row r="513" spans="2:13" ht="24.75" thickBot="1" x14ac:dyDescent="0.3">
      <c r="B513" s="95" t="s">
        <v>131</v>
      </c>
      <c r="C513" s="59" t="s">
        <v>3</v>
      </c>
      <c r="D513" s="556"/>
      <c r="E513" s="22"/>
      <c r="F513" s="311"/>
      <c r="G513" s="541"/>
      <c r="H513" s="15"/>
      <c r="I513" s="499" t="s">
        <v>611</v>
      </c>
      <c r="J513" s="500">
        <f>J508+J509+J512</f>
        <v>23011</v>
      </c>
      <c r="K513" s="496">
        <f>K508+K509+K512</f>
        <v>22536.058000000001</v>
      </c>
      <c r="L513" s="497">
        <f t="shared" si="131"/>
        <v>0.97936021902568338</v>
      </c>
      <c r="M513" s="498">
        <v>22536.33</v>
      </c>
    </row>
    <row r="514" spans="2:13" ht="48.75" thickBot="1" x14ac:dyDescent="0.3">
      <c r="B514" s="95" t="s">
        <v>131</v>
      </c>
      <c r="C514" s="59" t="s">
        <v>3</v>
      </c>
      <c r="D514" s="556"/>
      <c r="E514" s="22" t="s">
        <v>362</v>
      </c>
      <c r="F514" s="242"/>
      <c r="G514" s="541"/>
      <c r="H514" s="15">
        <v>60</v>
      </c>
      <c r="I514" s="126" t="s">
        <v>442</v>
      </c>
      <c r="J514" s="11">
        <f>J500+J499</f>
        <v>6591</v>
      </c>
      <c r="K514" s="370">
        <f t="shared" ref="K514" si="135">K500+K499</f>
        <v>0</v>
      </c>
      <c r="L514" s="379">
        <f t="shared" si="131"/>
        <v>0</v>
      </c>
      <c r="M514" s="280">
        <f>M500+M499</f>
        <v>6591</v>
      </c>
    </row>
    <row r="515" spans="2:13" ht="36.75" thickBot="1" x14ac:dyDescent="0.3">
      <c r="B515" s="95" t="s">
        <v>131</v>
      </c>
      <c r="C515" s="59" t="s">
        <v>3</v>
      </c>
      <c r="D515" s="556"/>
      <c r="E515" s="22" t="s">
        <v>362</v>
      </c>
      <c r="F515" s="242"/>
      <c r="G515" s="541"/>
      <c r="H515" s="15">
        <v>61</v>
      </c>
      <c r="I515" s="126" t="s">
        <v>443</v>
      </c>
      <c r="J515" s="11">
        <f>J502+J501+J481</f>
        <v>21050</v>
      </c>
      <c r="K515" s="11">
        <f>K502+K501+K481</f>
        <v>447.41633999999999</v>
      </c>
      <c r="L515" s="379">
        <f t="shared" si="131"/>
        <v>2.1254933016627078E-2</v>
      </c>
      <c r="M515" s="280">
        <f>M502+M501+M481</f>
        <v>36808</v>
      </c>
    </row>
    <row r="516" spans="2:13" ht="15.75" thickBot="1" x14ac:dyDescent="0.3">
      <c r="B516" s="95" t="s">
        <v>131</v>
      </c>
      <c r="C516" s="59" t="s">
        <v>3</v>
      </c>
      <c r="D516" s="556"/>
      <c r="E516" s="22" t="s">
        <v>362</v>
      </c>
      <c r="F516" s="302"/>
      <c r="G516" s="541"/>
      <c r="H516" s="15">
        <v>71</v>
      </c>
      <c r="I516" s="196" t="s">
        <v>594</v>
      </c>
      <c r="J516" s="11">
        <f>J503</f>
        <v>0</v>
      </c>
      <c r="K516" s="11">
        <f t="shared" ref="K516:M516" si="136">K503</f>
        <v>0</v>
      </c>
      <c r="L516" s="379">
        <v>0</v>
      </c>
      <c r="M516" s="280">
        <f t="shared" si="136"/>
        <v>81</v>
      </c>
    </row>
    <row r="517" spans="2:13" ht="24.75" customHeight="1" thickBot="1" x14ac:dyDescent="0.3">
      <c r="B517" s="95" t="s">
        <v>131</v>
      </c>
      <c r="C517" s="59" t="s">
        <v>3</v>
      </c>
      <c r="D517" s="556"/>
      <c r="E517" s="22" t="s">
        <v>362</v>
      </c>
      <c r="F517" s="242"/>
      <c r="G517" s="541"/>
      <c r="H517" s="15">
        <v>71</v>
      </c>
      <c r="I517" s="138" t="s">
        <v>454</v>
      </c>
      <c r="J517" s="11">
        <f>J504++J490+J485</f>
        <v>3136.39</v>
      </c>
      <c r="K517" s="370">
        <f>K504++K490+K485</f>
        <v>1181.8339599999999</v>
      </c>
      <c r="L517" s="379">
        <f t="shared" si="131"/>
        <v>0.37681345751006728</v>
      </c>
      <c r="M517" s="280">
        <f>M504+M490+M485</f>
        <v>7324.61</v>
      </c>
    </row>
    <row r="518" spans="2:13" ht="48" customHeight="1" thickBot="1" x14ac:dyDescent="0.3">
      <c r="B518" s="95" t="s">
        <v>131</v>
      </c>
      <c r="C518" s="59" t="s">
        <v>3</v>
      </c>
      <c r="D518" s="556"/>
      <c r="E518" s="22" t="s">
        <v>364</v>
      </c>
      <c r="F518" s="242"/>
      <c r="G518" s="541"/>
      <c r="H518" s="15">
        <v>850101</v>
      </c>
      <c r="I518" s="138" t="str">
        <f>I505</f>
        <v>Plati efectuate in anii precedenti si recuperate in anul curent in sectiunea de functionare a bugetului local</v>
      </c>
      <c r="J518" s="11">
        <f t="shared" ref="J518" si="137">J505</f>
        <v>-10.07</v>
      </c>
      <c r="K518" s="370">
        <f t="shared" ref="K518" si="138">K505</f>
        <v>-10.07113</v>
      </c>
      <c r="L518" s="379">
        <f t="shared" si="131"/>
        <v>1.0001122144985104</v>
      </c>
      <c r="M518" s="280">
        <f t="shared" ref="M518" si="139">M505</f>
        <v>0</v>
      </c>
    </row>
    <row r="519" spans="2:13" ht="48.75" thickBot="1" x14ac:dyDescent="0.3">
      <c r="B519" s="55" t="s">
        <v>131</v>
      </c>
      <c r="C519" s="41" t="s">
        <v>3</v>
      </c>
      <c r="D519" s="556"/>
      <c r="E519" s="22" t="s">
        <v>362</v>
      </c>
      <c r="F519" s="242"/>
      <c r="G519" s="542"/>
      <c r="H519" s="15">
        <v>850102</v>
      </c>
      <c r="I519" s="138" t="str">
        <f>I506</f>
        <v>Plati efectuate in anii precedenti si recuperate in anul curent in sectiunea de dezvoltare a bugetului local</v>
      </c>
      <c r="J519" s="11">
        <f>J506+J486</f>
        <v>-2.4</v>
      </c>
      <c r="K519" s="11">
        <f>K506+K486</f>
        <v>-2.4293900000000002</v>
      </c>
      <c r="L519" s="379">
        <f t="shared" si="131"/>
        <v>1.0122458333333335</v>
      </c>
      <c r="M519" s="280">
        <f>M506+M486</f>
        <v>0</v>
      </c>
    </row>
    <row r="520" spans="2:13" s="169" customFormat="1" ht="16.5" thickBot="1" x14ac:dyDescent="0.3">
      <c r="B520" s="55" t="s">
        <v>131</v>
      </c>
      <c r="C520" s="41" t="s">
        <v>3</v>
      </c>
      <c r="D520" s="556"/>
      <c r="E520" s="170" t="s">
        <v>364</v>
      </c>
      <c r="F520" s="554" t="s">
        <v>468</v>
      </c>
      <c r="G520" s="543"/>
      <c r="H520" s="543"/>
      <c r="I520" s="544"/>
      <c r="J520" s="356">
        <f>J510+J513+J518</f>
        <v>71252.349999999991</v>
      </c>
      <c r="K520" s="356">
        <f t="shared" ref="K520:M520" si="140">K510+K513+K518</f>
        <v>67848.042020000008</v>
      </c>
      <c r="L520" s="357">
        <f>K520/J520</f>
        <v>0.95222181471909373</v>
      </c>
      <c r="M520" s="283">
        <f t="shared" si="140"/>
        <v>72532.33</v>
      </c>
    </row>
    <row r="521" spans="2:13" s="169" customFormat="1" ht="16.5" thickBot="1" x14ac:dyDescent="0.3">
      <c r="B521" s="55" t="s">
        <v>131</v>
      </c>
      <c r="C521" s="41" t="s">
        <v>3</v>
      </c>
      <c r="D521" s="557"/>
      <c r="E521" s="170" t="s">
        <v>362</v>
      </c>
      <c r="F521" s="543" t="s">
        <v>469</v>
      </c>
      <c r="G521" s="543"/>
      <c r="H521" s="543"/>
      <c r="I521" s="544"/>
      <c r="J521" s="356">
        <f>J511+J514+J515+J517+J519</f>
        <v>31910.989999999998</v>
      </c>
      <c r="K521" s="358">
        <f t="shared" ref="K521" si="141">K511+K514+K515+K517+K519</f>
        <v>2201.6615999999999</v>
      </c>
      <c r="L521" s="454">
        <f t="shared" si="131"/>
        <v>6.899383566601977E-2</v>
      </c>
      <c r="M521" s="283">
        <f>M511+M514+M515+M517+M519+M516</f>
        <v>50991.61</v>
      </c>
    </row>
    <row r="522" spans="2:13" s="78" customFormat="1" ht="15" customHeight="1" thickBot="1" x14ac:dyDescent="0.35">
      <c r="B522" s="545" t="s">
        <v>322</v>
      </c>
      <c r="C522" s="546"/>
      <c r="D522" s="546"/>
      <c r="E522" s="546"/>
      <c r="F522" s="546"/>
      <c r="G522" s="546"/>
      <c r="H522" s="546"/>
      <c r="I522" s="546"/>
      <c r="J522" s="406">
        <f>SUM(J508:J519)</f>
        <v>126174.34</v>
      </c>
      <c r="K522" s="368">
        <f t="shared" ref="K522" si="142">SUM(K508:K519)</f>
        <v>92585.761620000005</v>
      </c>
      <c r="L522" s="454">
        <f t="shared" si="131"/>
        <v>0.73379231957940105</v>
      </c>
      <c r="M522" s="285">
        <f>M520+M521</f>
        <v>123523.94</v>
      </c>
    </row>
    <row r="523" spans="2:13" ht="27" customHeight="1" thickBot="1" x14ac:dyDescent="0.3">
      <c r="B523" s="89" t="s">
        <v>131</v>
      </c>
      <c r="C523" s="80" t="s">
        <v>3</v>
      </c>
      <c r="D523" s="58" t="s">
        <v>284</v>
      </c>
      <c r="E523" s="30" t="s">
        <v>362</v>
      </c>
      <c r="F523" s="30" t="s">
        <v>355</v>
      </c>
      <c r="G523" s="80" t="s">
        <v>285</v>
      </c>
      <c r="H523" s="58">
        <v>710130</v>
      </c>
      <c r="I523" s="124" t="s">
        <v>561</v>
      </c>
      <c r="J523" s="363">
        <v>2127</v>
      </c>
      <c r="K523" s="455">
        <v>0</v>
      </c>
      <c r="L523" s="405"/>
      <c r="M523" s="266">
        <f>3027+2432</f>
        <v>5459</v>
      </c>
    </row>
    <row r="524" spans="2:13" ht="15" customHeight="1" thickBot="1" x14ac:dyDescent="0.3">
      <c r="B524" s="548" t="s">
        <v>286</v>
      </c>
      <c r="C524" s="549"/>
      <c r="D524" s="549"/>
      <c r="E524" s="549"/>
      <c r="F524" s="549"/>
      <c r="G524" s="549"/>
      <c r="H524" s="549"/>
      <c r="I524" s="550"/>
      <c r="J524" s="372">
        <f>SUM(J523)</f>
        <v>2127</v>
      </c>
      <c r="K524" s="421">
        <f t="shared" ref="K524" si="143">SUM(K523)</f>
        <v>0</v>
      </c>
      <c r="L524" s="373">
        <v>0</v>
      </c>
      <c r="M524" s="284">
        <f>SUM(M523)</f>
        <v>5459</v>
      </c>
    </row>
    <row r="525" spans="2:13" x14ac:dyDescent="0.25">
      <c r="B525" s="92" t="s">
        <v>131</v>
      </c>
      <c r="C525" s="40" t="s">
        <v>3</v>
      </c>
      <c r="D525" s="57" t="s">
        <v>287</v>
      </c>
      <c r="E525" s="34" t="s">
        <v>364</v>
      </c>
      <c r="F525" s="34" t="s">
        <v>355</v>
      </c>
      <c r="G525" s="40" t="s">
        <v>288</v>
      </c>
      <c r="H525" s="57">
        <v>20</v>
      </c>
      <c r="I525" s="40" t="s">
        <v>409</v>
      </c>
      <c r="J525" s="407">
        <f>J526+J527</f>
        <v>45710.65</v>
      </c>
      <c r="K525" s="348">
        <f t="shared" ref="K525" si="144">K526+K527</f>
        <v>35099.648150000001</v>
      </c>
      <c r="L525" s="456">
        <f t="shared" ref="L525:L571" si="145">K525/J525</f>
        <v>0.76786587261393136</v>
      </c>
      <c r="M525" s="276">
        <f>M526+M527</f>
        <v>41532</v>
      </c>
    </row>
    <row r="526" spans="2:13" ht="48" x14ac:dyDescent="0.25">
      <c r="B526" s="55" t="s">
        <v>131</v>
      </c>
      <c r="C526" s="41" t="s">
        <v>3</v>
      </c>
      <c r="D526" s="38" t="s">
        <v>287</v>
      </c>
      <c r="E526" s="24" t="s">
        <v>364</v>
      </c>
      <c r="F526" s="24" t="s">
        <v>355</v>
      </c>
      <c r="G526" s="41" t="s">
        <v>288</v>
      </c>
      <c r="H526" s="131">
        <v>200109</v>
      </c>
      <c r="I526" s="41" t="s">
        <v>407</v>
      </c>
      <c r="J526" s="361">
        <v>45060.65</v>
      </c>
      <c r="K526" s="340">
        <v>34550.709150000002</v>
      </c>
      <c r="L526" s="408">
        <f t="shared" si="145"/>
        <v>0.76676011442356029</v>
      </c>
      <c r="M526" s="112">
        <v>41000</v>
      </c>
    </row>
    <row r="527" spans="2:13" ht="36" x14ac:dyDescent="0.25">
      <c r="B527" s="60" t="s">
        <v>131</v>
      </c>
      <c r="C527" s="79" t="s">
        <v>3</v>
      </c>
      <c r="D527" s="37" t="s">
        <v>287</v>
      </c>
      <c r="E527" s="23" t="s">
        <v>364</v>
      </c>
      <c r="F527" s="23" t="s">
        <v>355</v>
      </c>
      <c r="G527" s="79" t="s">
        <v>288</v>
      </c>
      <c r="H527" s="132">
        <v>200130</v>
      </c>
      <c r="I527" s="79" t="s">
        <v>406</v>
      </c>
      <c r="J527" s="360">
        <v>650</v>
      </c>
      <c r="K527" s="345">
        <v>548.93899999999996</v>
      </c>
      <c r="L527" s="408">
        <f t="shared" si="145"/>
        <v>0.84452153846153843</v>
      </c>
      <c r="M527" s="112">
        <v>532</v>
      </c>
    </row>
    <row r="528" spans="2:13" ht="48.75" thickBot="1" x14ac:dyDescent="0.3">
      <c r="B528" s="60" t="s">
        <v>131</v>
      </c>
      <c r="C528" s="79" t="s">
        <v>3</v>
      </c>
      <c r="D528" s="37" t="s">
        <v>287</v>
      </c>
      <c r="E528" s="23" t="s">
        <v>364</v>
      </c>
      <c r="F528" s="23" t="s">
        <v>355</v>
      </c>
      <c r="G528" s="79" t="s">
        <v>288</v>
      </c>
      <c r="H528" s="101">
        <v>850101</v>
      </c>
      <c r="I528" s="130" t="s">
        <v>374</v>
      </c>
      <c r="J528" s="448">
        <v>-19.25</v>
      </c>
      <c r="K528" s="420">
        <v>-19.25507</v>
      </c>
      <c r="L528" s="416">
        <f t="shared" si="145"/>
        <v>1.0002633766233766</v>
      </c>
      <c r="M528" s="286"/>
    </row>
    <row r="529" spans="2:13" ht="15" customHeight="1" thickBot="1" x14ac:dyDescent="0.3">
      <c r="B529" s="548" t="s">
        <v>289</v>
      </c>
      <c r="C529" s="549"/>
      <c r="D529" s="549"/>
      <c r="E529" s="549"/>
      <c r="F529" s="549"/>
      <c r="G529" s="549"/>
      <c r="H529" s="549"/>
      <c r="I529" s="551"/>
      <c r="J529" s="372">
        <f>J525+J528</f>
        <v>45691.4</v>
      </c>
      <c r="K529" s="421">
        <f>K525+K528</f>
        <v>35080.393080000002</v>
      </c>
      <c r="L529" s="373">
        <f t="shared" si="145"/>
        <v>0.76776796246120715</v>
      </c>
      <c r="M529" s="284">
        <f>M525+M528</f>
        <v>41532</v>
      </c>
    </row>
    <row r="530" spans="2:13" ht="24.75" thickBot="1" x14ac:dyDescent="0.3">
      <c r="B530" s="89" t="s">
        <v>131</v>
      </c>
      <c r="C530" s="59" t="s">
        <v>3</v>
      </c>
      <c r="D530" s="58" t="s">
        <v>290</v>
      </c>
      <c r="E530" s="30" t="s">
        <v>364</v>
      </c>
      <c r="F530" s="30" t="s">
        <v>355</v>
      </c>
      <c r="G530" s="59" t="s">
        <v>291</v>
      </c>
      <c r="H530" s="58">
        <v>200130</v>
      </c>
      <c r="I530" s="59" t="s">
        <v>149</v>
      </c>
      <c r="J530" s="363">
        <v>1225</v>
      </c>
      <c r="K530" s="388">
        <v>1224.7249999999999</v>
      </c>
      <c r="L530" s="405">
        <f t="shared" si="145"/>
        <v>0.99977551020408151</v>
      </c>
      <c r="M530" s="469">
        <v>1299</v>
      </c>
    </row>
    <row r="531" spans="2:13" ht="15" customHeight="1" thickBot="1" x14ac:dyDescent="0.3">
      <c r="B531" s="548" t="s">
        <v>292</v>
      </c>
      <c r="C531" s="552"/>
      <c r="D531" s="549"/>
      <c r="E531" s="552"/>
      <c r="F531" s="552"/>
      <c r="G531" s="552"/>
      <c r="H531" s="549"/>
      <c r="I531" s="553"/>
      <c r="J531" s="372">
        <f t="shared" ref="J531" si="146">SUM(J530:J530)</f>
        <v>1225</v>
      </c>
      <c r="K531" s="372">
        <f t="shared" ref="K531" si="147">SUM(K530:K530)</f>
        <v>1224.7249999999999</v>
      </c>
      <c r="L531" s="373">
        <f t="shared" si="145"/>
        <v>0.99977551020408151</v>
      </c>
      <c r="M531" s="284">
        <f t="shared" ref="M531" si="148">SUM(M530:M530)</f>
        <v>1299</v>
      </c>
    </row>
    <row r="532" spans="2:13" x14ac:dyDescent="0.25">
      <c r="B532" s="92" t="s">
        <v>131</v>
      </c>
      <c r="C532" s="40" t="s">
        <v>3</v>
      </c>
      <c r="D532" s="57" t="s">
        <v>293</v>
      </c>
      <c r="E532" s="34" t="s">
        <v>364</v>
      </c>
      <c r="F532" s="34" t="s">
        <v>355</v>
      </c>
      <c r="G532" s="40" t="s">
        <v>294</v>
      </c>
      <c r="H532" s="57">
        <v>200104</v>
      </c>
      <c r="I532" s="40" t="s">
        <v>408</v>
      </c>
      <c r="J532" s="360">
        <v>3147</v>
      </c>
      <c r="K532" s="374">
        <v>2617.1431499999999</v>
      </c>
      <c r="L532" s="375">
        <f t="shared" si="145"/>
        <v>0.8316311248808389</v>
      </c>
      <c r="M532" s="287">
        <v>3800</v>
      </c>
    </row>
    <row r="533" spans="2:13" ht="15.75" thickBot="1" x14ac:dyDescent="0.3">
      <c r="B533" s="61" t="s">
        <v>131</v>
      </c>
      <c r="C533" s="42" t="s">
        <v>3</v>
      </c>
      <c r="D533" s="39" t="s">
        <v>293</v>
      </c>
      <c r="E533" s="99" t="s">
        <v>362</v>
      </c>
      <c r="F533" s="99" t="s">
        <v>355</v>
      </c>
      <c r="G533" s="80" t="s">
        <v>294</v>
      </c>
      <c r="H533" s="39" t="s">
        <v>158</v>
      </c>
      <c r="I533" s="305" t="s">
        <v>561</v>
      </c>
      <c r="J533" s="376">
        <v>161</v>
      </c>
      <c r="K533" s="377">
        <v>119</v>
      </c>
      <c r="L533" s="378">
        <f t="shared" si="145"/>
        <v>0.73913043478260865</v>
      </c>
      <c r="M533" s="270">
        <v>850</v>
      </c>
    </row>
    <row r="534" spans="2:13" ht="15" customHeight="1" thickBot="1" x14ac:dyDescent="0.3">
      <c r="B534" s="548" t="s">
        <v>295</v>
      </c>
      <c r="C534" s="552"/>
      <c r="D534" s="549"/>
      <c r="E534" s="549"/>
      <c r="F534" s="549"/>
      <c r="G534" s="549"/>
      <c r="H534" s="549"/>
      <c r="I534" s="550"/>
      <c r="J534" s="422">
        <f t="shared" ref="J534" si="149">SUM(J532:J533)</f>
        <v>3308</v>
      </c>
      <c r="K534" s="372">
        <f t="shared" ref="K534" si="150">SUM(K532:K533)</f>
        <v>2736.1431499999999</v>
      </c>
      <c r="L534" s="373">
        <f t="shared" si="145"/>
        <v>0.82712912636033853</v>
      </c>
      <c r="M534" s="284">
        <f t="shared" ref="M534" si="151">SUM(M532:M533)</f>
        <v>4650</v>
      </c>
    </row>
    <row r="535" spans="2:13" ht="24" x14ac:dyDescent="0.25">
      <c r="B535" s="60" t="s">
        <v>131</v>
      </c>
      <c r="C535" s="40" t="s">
        <v>3</v>
      </c>
      <c r="D535" s="37">
        <v>745000</v>
      </c>
      <c r="E535" s="34" t="s">
        <v>362</v>
      </c>
      <c r="F535" s="34" t="s">
        <v>355</v>
      </c>
      <c r="G535" s="40" t="s">
        <v>497</v>
      </c>
      <c r="H535" s="37">
        <v>600100</v>
      </c>
      <c r="I535" s="40" t="s">
        <v>103</v>
      </c>
      <c r="J535" s="360">
        <v>32684</v>
      </c>
      <c r="K535" s="374">
        <v>0</v>
      </c>
      <c r="L535" s="375">
        <f t="shared" si="145"/>
        <v>0</v>
      </c>
      <c r="M535" s="271">
        <v>41087</v>
      </c>
    </row>
    <row r="536" spans="2:13" ht="24" x14ac:dyDescent="0.25">
      <c r="B536" s="55" t="s">
        <v>131</v>
      </c>
      <c r="C536" s="41" t="s">
        <v>3</v>
      </c>
      <c r="D536" s="38">
        <v>745000</v>
      </c>
      <c r="E536" s="24" t="s">
        <v>362</v>
      </c>
      <c r="F536" s="24" t="s">
        <v>355</v>
      </c>
      <c r="G536" s="41" t="s">
        <v>497</v>
      </c>
      <c r="H536" s="38">
        <v>600300</v>
      </c>
      <c r="I536" s="41" t="s">
        <v>107</v>
      </c>
      <c r="J536" s="361">
        <v>6210</v>
      </c>
      <c r="K536" s="409">
        <v>0</v>
      </c>
      <c r="L536" s="375">
        <f t="shared" si="145"/>
        <v>0</v>
      </c>
      <c r="M536" s="275">
        <v>2591</v>
      </c>
    </row>
    <row r="537" spans="2:13" ht="24.75" thickBot="1" x14ac:dyDescent="0.3">
      <c r="B537" s="55" t="s">
        <v>131</v>
      </c>
      <c r="C537" s="41" t="s">
        <v>3</v>
      </c>
      <c r="D537" s="38">
        <v>745000</v>
      </c>
      <c r="E537" s="24" t="s">
        <v>362</v>
      </c>
      <c r="F537" s="24" t="s">
        <v>355</v>
      </c>
      <c r="G537" s="79" t="s">
        <v>497</v>
      </c>
      <c r="H537" s="38">
        <v>710130</v>
      </c>
      <c r="I537" s="305" t="s">
        <v>561</v>
      </c>
      <c r="J537" s="361">
        <v>1445.15</v>
      </c>
      <c r="K537" s="409">
        <v>124.12128</v>
      </c>
      <c r="L537" s="375">
        <f t="shared" si="145"/>
        <v>8.5888163858422989E-2</v>
      </c>
      <c r="M537" s="275">
        <v>2034.15</v>
      </c>
    </row>
    <row r="538" spans="2:13" ht="15" customHeight="1" thickBot="1" x14ac:dyDescent="0.3">
      <c r="B538" s="548" t="s">
        <v>296</v>
      </c>
      <c r="C538" s="549"/>
      <c r="D538" s="549"/>
      <c r="E538" s="549"/>
      <c r="F538" s="549"/>
      <c r="G538" s="549"/>
      <c r="H538" s="549"/>
      <c r="I538" s="551"/>
      <c r="J538" s="372">
        <f t="shared" ref="J538" si="152">J535+J536+J537</f>
        <v>40339.15</v>
      </c>
      <c r="K538" s="372">
        <f t="shared" ref="K538" si="153">K535+K536+K537</f>
        <v>124.12128</v>
      </c>
      <c r="L538" s="457">
        <f t="shared" si="145"/>
        <v>3.0769433664318657E-3</v>
      </c>
      <c r="M538" s="284">
        <f t="shared" ref="M538" si="154">M535+M536+M537</f>
        <v>45712.15</v>
      </c>
    </row>
    <row r="539" spans="2:13" ht="15.75" thickBot="1" x14ac:dyDescent="0.3">
      <c r="B539" s="55" t="s">
        <v>131</v>
      </c>
      <c r="C539" s="41" t="s">
        <v>3</v>
      </c>
      <c r="D539" s="540">
        <v>74</v>
      </c>
      <c r="E539" s="144" t="s">
        <v>364</v>
      </c>
      <c r="F539" s="22" t="s">
        <v>355</v>
      </c>
      <c r="G539" s="540" t="s">
        <v>449</v>
      </c>
      <c r="H539" s="22">
        <v>20</v>
      </c>
      <c r="I539" s="138" t="s">
        <v>448</v>
      </c>
      <c r="J539" s="370">
        <f t="shared" ref="J539:K539" si="155">J525+J530+J532</f>
        <v>50082.65</v>
      </c>
      <c r="K539" s="370">
        <f t="shared" si="155"/>
        <v>38941.516300000003</v>
      </c>
      <c r="L539" s="458">
        <f t="shared" si="145"/>
        <v>0.77754504404219826</v>
      </c>
      <c r="M539" s="280">
        <f t="shared" ref="M539" si="156">M525+M530+M532</f>
        <v>46631</v>
      </c>
    </row>
    <row r="540" spans="2:13" ht="48.75" thickBot="1" x14ac:dyDescent="0.3">
      <c r="B540" s="55" t="s">
        <v>131</v>
      </c>
      <c r="C540" s="41" t="s">
        <v>3</v>
      </c>
      <c r="D540" s="541"/>
      <c r="E540" s="144" t="s">
        <v>362</v>
      </c>
      <c r="F540" s="22" t="s">
        <v>355</v>
      </c>
      <c r="G540" s="541"/>
      <c r="H540" s="22">
        <v>60</v>
      </c>
      <c r="I540" s="126" t="s">
        <v>442</v>
      </c>
      <c r="J540" s="370">
        <f>J535+J536</f>
        <v>38894</v>
      </c>
      <c r="K540" s="370">
        <f>K535+K536</f>
        <v>0</v>
      </c>
      <c r="L540" s="458">
        <f t="shared" si="145"/>
        <v>0</v>
      </c>
      <c r="M540" s="280">
        <f>M535+M536</f>
        <v>43678</v>
      </c>
    </row>
    <row r="541" spans="2:13" ht="15.75" thickBot="1" x14ac:dyDescent="0.3">
      <c r="B541" s="55" t="s">
        <v>131</v>
      </c>
      <c r="C541" s="41" t="s">
        <v>3</v>
      </c>
      <c r="D541" s="541"/>
      <c r="E541" s="144" t="s">
        <v>362</v>
      </c>
      <c r="F541" s="22" t="s">
        <v>355</v>
      </c>
      <c r="G541" s="541"/>
      <c r="H541" s="22">
        <v>71</v>
      </c>
      <c r="I541" s="138" t="s">
        <v>444</v>
      </c>
      <c r="J541" s="370">
        <f>J533+J537+J523</f>
        <v>3733.15</v>
      </c>
      <c r="K541" s="370">
        <f t="shared" ref="K541" si="157">K533+K537+K523</f>
        <v>243.12128000000001</v>
      </c>
      <c r="L541" s="458">
        <f t="shared" si="145"/>
        <v>6.512496952975369E-2</v>
      </c>
      <c r="M541" s="280">
        <f>M533+M537+M523</f>
        <v>8343.15</v>
      </c>
    </row>
    <row r="542" spans="2:13" ht="48.75" thickBot="1" x14ac:dyDescent="0.3">
      <c r="B542" s="55" t="s">
        <v>131</v>
      </c>
      <c r="C542" s="41" t="s">
        <v>3</v>
      </c>
      <c r="D542" s="541"/>
      <c r="E542" s="144" t="s">
        <v>364</v>
      </c>
      <c r="F542" s="22" t="s">
        <v>355</v>
      </c>
      <c r="G542" s="542"/>
      <c r="H542" s="22">
        <f t="shared" ref="H542:K542" si="158">H528</f>
        <v>850101</v>
      </c>
      <c r="I542" s="138" t="str">
        <f t="shared" si="158"/>
        <v>Plati efectuate în anii precedenti si recuperate în anul curent în sectiunea de funcționare a bugetului local</v>
      </c>
      <c r="J542" s="11">
        <f t="shared" si="158"/>
        <v>-19.25</v>
      </c>
      <c r="K542" s="370">
        <f t="shared" si="158"/>
        <v>-19.25507</v>
      </c>
      <c r="L542" s="458">
        <f t="shared" si="145"/>
        <v>1.0002633766233766</v>
      </c>
      <c r="M542" s="280">
        <f t="shared" ref="M542" si="159">M528</f>
        <v>0</v>
      </c>
    </row>
    <row r="543" spans="2:13" ht="16.5" thickBot="1" x14ac:dyDescent="0.3">
      <c r="B543" s="55" t="s">
        <v>131</v>
      </c>
      <c r="C543" s="41" t="s">
        <v>3</v>
      </c>
      <c r="D543" s="541"/>
      <c r="E543" s="170" t="s">
        <v>364</v>
      </c>
      <c r="F543" s="543" t="s">
        <v>470</v>
      </c>
      <c r="G543" s="543"/>
      <c r="H543" s="543"/>
      <c r="I543" s="544"/>
      <c r="J543" s="358">
        <f>J539+J542</f>
        <v>50063.4</v>
      </c>
      <c r="K543" s="358">
        <f t="shared" ref="K543" si="160">K539+K542</f>
        <v>38922.261230000004</v>
      </c>
      <c r="L543" s="454">
        <f t="shared" si="145"/>
        <v>0.77745940607309938</v>
      </c>
      <c r="M543" s="283">
        <f>M539+M542</f>
        <v>46631</v>
      </c>
    </row>
    <row r="544" spans="2:13" ht="16.5" thickBot="1" x14ac:dyDescent="0.3">
      <c r="B544" s="55" t="s">
        <v>131</v>
      </c>
      <c r="C544" s="41" t="s">
        <v>3</v>
      </c>
      <c r="D544" s="542"/>
      <c r="E544" s="170" t="s">
        <v>362</v>
      </c>
      <c r="F544" s="543" t="s">
        <v>471</v>
      </c>
      <c r="G544" s="543"/>
      <c r="H544" s="543"/>
      <c r="I544" s="544"/>
      <c r="J544" s="358">
        <f>J540+J541</f>
        <v>42627.15</v>
      </c>
      <c r="K544" s="358">
        <f t="shared" ref="K544" si="161">K540+K541</f>
        <v>243.12128000000001</v>
      </c>
      <c r="L544" s="454">
        <f t="shared" si="145"/>
        <v>5.7034373632766913E-3</v>
      </c>
      <c r="M544" s="283">
        <f>M540+M541</f>
        <v>52021.15</v>
      </c>
    </row>
    <row r="545" spans="2:13" ht="15" customHeight="1" thickBot="1" x14ac:dyDescent="0.3">
      <c r="B545" s="545" t="s">
        <v>323</v>
      </c>
      <c r="C545" s="546"/>
      <c r="D545" s="546"/>
      <c r="E545" s="546"/>
      <c r="F545" s="546"/>
      <c r="G545" s="546"/>
      <c r="H545" s="546"/>
      <c r="I545" s="547"/>
      <c r="J545" s="368">
        <f>SUM(J539:J542)</f>
        <v>92690.549999999988</v>
      </c>
      <c r="K545" s="368">
        <f t="shared" ref="K545" si="162">SUM(K539:K542)</f>
        <v>39165.382510000003</v>
      </c>
      <c r="L545" s="454">
        <f t="shared" si="145"/>
        <v>0.42253911008188005</v>
      </c>
      <c r="M545" s="285">
        <f>M543+M544</f>
        <v>98652.15</v>
      </c>
    </row>
    <row r="546" spans="2:13" ht="24" x14ac:dyDescent="0.25">
      <c r="B546" s="92" t="s">
        <v>131</v>
      </c>
      <c r="C546" s="40" t="s">
        <v>3</v>
      </c>
      <c r="D546" s="57" t="s">
        <v>297</v>
      </c>
      <c r="E546" s="34" t="s">
        <v>364</v>
      </c>
      <c r="F546" s="34" t="s">
        <v>355</v>
      </c>
      <c r="G546" s="40" t="s">
        <v>366</v>
      </c>
      <c r="H546" s="57">
        <v>40</v>
      </c>
      <c r="I546" s="40" t="s">
        <v>515</v>
      </c>
      <c r="J546" s="407">
        <v>138254.60999999999</v>
      </c>
      <c r="K546" s="402">
        <v>138234.50255</v>
      </c>
      <c r="L546" s="390">
        <f t="shared" si="145"/>
        <v>0.99985456217336999</v>
      </c>
      <c r="M546" s="276">
        <v>110214.59</v>
      </c>
    </row>
    <row r="547" spans="2:13" ht="15.75" thickBot="1" x14ac:dyDescent="0.3">
      <c r="B547" s="186" t="s">
        <v>131</v>
      </c>
      <c r="C547" s="80" t="s">
        <v>3</v>
      </c>
      <c r="D547" s="101">
        <v>810600</v>
      </c>
      <c r="E547" s="99" t="s">
        <v>362</v>
      </c>
      <c r="F547" s="99" t="s">
        <v>355</v>
      </c>
      <c r="G547" s="80" t="s">
        <v>366</v>
      </c>
      <c r="H547" s="101">
        <v>710130</v>
      </c>
      <c r="I547" s="80" t="s">
        <v>444</v>
      </c>
      <c r="J547" s="448">
        <v>370</v>
      </c>
      <c r="K547" s="413">
        <v>0</v>
      </c>
      <c r="L547" s="521">
        <f t="shared" si="145"/>
        <v>0</v>
      </c>
      <c r="M547" s="286">
        <v>10</v>
      </c>
    </row>
    <row r="548" spans="2:13" ht="15.75" thickBot="1" x14ac:dyDescent="0.3">
      <c r="B548" s="548" t="s">
        <v>581</v>
      </c>
      <c r="C548" s="549"/>
      <c r="D548" s="549"/>
      <c r="E548" s="549"/>
      <c r="F548" s="549"/>
      <c r="G548" s="549"/>
      <c r="H548" s="549"/>
      <c r="I548" s="551"/>
      <c r="J548" s="421">
        <f>J546+J547</f>
        <v>138624.60999999999</v>
      </c>
      <c r="K548" s="421">
        <f t="shared" ref="K548:M548" si="163">K546+K547</f>
        <v>138234.50255</v>
      </c>
      <c r="L548" s="459">
        <f>K548/J548</f>
        <v>0.99718587161399419</v>
      </c>
      <c r="M548" s="284">
        <f t="shared" si="163"/>
        <v>110224.59</v>
      </c>
    </row>
    <row r="549" spans="2:13" ht="36" x14ac:dyDescent="0.25">
      <c r="B549" s="92" t="s">
        <v>131</v>
      </c>
      <c r="C549" s="40" t="s">
        <v>3</v>
      </c>
      <c r="D549" s="57">
        <v>815000</v>
      </c>
      <c r="E549" s="34" t="s">
        <v>362</v>
      </c>
      <c r="F549" s="57" t="s">
        <v>355</v>
      </c>
      <c r="G549" s="40" t="s">
        <v>583</v>
      </c>
      <c r="H549" s="175">
        <v>5842</v>
      </c>
      <c r="I549" s="321" t="s">
        <v>584</v>
      </c>
      <c r="J549" s="407">
        <f>J550+J551</f>
        <v>0</v>
      </c>
      <c r="K549" s="348">
        <f t="shared" ref="K549:M549" si="164">K550+K551</f>
        <v>0</v>
      </c>
      <c r="L549" s="348">
        <f t="shared" si="164"/>
        <v>0</v>
      </c>
      <c r="M549" s="276">
        <f t="shared" si="164"/>
        <v>27282</v>
      </c>
    </row>
    <row r="550" spans="2:13" ht="24" x14ac:dyDescent="0.25">
      <c r="B550" s="55" t="s">
        <v>131</v>
      </c>
      <c r="C550" s="41" t="s">
        <v>3</v>
      </c>
      <c r="D550" s="38">
        <v>815000</v>
      </c>
      <c r="E550" s="24" t="s">
        <v>362</v>
      </c>
      <c r="F550" s="38" t="s">
        <v>355</v>
      </c>
      <c r="G550" s="41" t="s">
        <v>583</v>
      </c>
      <c r="H550" s="38">
        <v>584201</v>
      </c>
      <c r="I550" s="322" t="s">
        <v>585</v>
      </c>
      <c r="J550" s="361">
        <v>0</v>
      </c>
      <c r="K550" s="340">
        <v>0</v>
      </c>
      <c r="L550" s="353">
        <v>0</v>
      </c>
      <c r="M550" s="275">
        <v>22282</v>
      </c>
    </row>
    <row r="551" spans="2:13" ht="25.5" thickBot="1" x14ac:dyDescent="0.3">
      <c r="B551" s="186" t="s">
        <v>131</v>
      </c>
      <c r="C551" s="80" t="s">
        <v>3</v>
      </c>
      <c r="D551" s="101">
        <v>815000</v>
      </c>
      <c r="E551" s="99" t="s">
        <v>362</v>
      </c>
      <c r="F551" s="101" t="s">
        <v>355</v>
      </c>
      <c r="G551" s="80" t="s">
        <v>583</v>
      </c>
      <c r="H551" s="101">
        <v>584202</v>
      </c>
      <c r="I551" s="306" t="s">
        <v>586</v>
      </c>
      <c r="J551" s="448">
        <v>0</v>
      </c>
      <c r="K551" s="420">
        <v>0</v>
      </c>
      <c r="L551" s="352">
        <v>0</v>
      </c>
      <c r="M551" s="286">
        <v>5000</v>
      </c>
    </row>
    <row r="552" spans="2:13" ht="15.75" thickBot="1" x14ac:dyDescent="0.3">
      <c r="B552" s="548" t="s">
        <v>582</v>
      </c>
      <c r="C552" s="549"/>
      <c r="D552" s="549"/>
      <c r="E552" s="549"/>
      <c r="F552" s="549"/>
      <c r="G552" s="549"/>
      <c r="H552" s="549"/>
      <c r="I552" s="551"/>
      <c r="J552" s="421">
        <f>J549</f>
        <v>0</v>
      </c>
      <c r="K552" s="421">
        <f t="shared" ref="K552" si="165">K549</f>
        <v>0</v>
      </c>
      <c r="L552" s="459">
        <v>0</v>
      </c>
      <c r="M552" s="284">
        <f>M549</f>
        <v>27282</v>
      </c>
    </row>
    <row r="553" spans="2:13" ht="16.5" thickBot="1" x14ac:dyDescent="0.3">
      <c r="B553" s="95" t="s">
        <v>131</v>
      </c>
      <c r="C553" s="59" t="s">
        <v>3</v>
      </c>
      <c r="D553" s="540">
        <v>81</v>
      </c>
      <c r="E553" s="307" t="s">
        <v>364</v>
      </c>
      <c r="F553" s="554" t="s">
        <v>587</v>
      </c>
      <c r="G553" s="543"/>
      <c r="H553" s="543"/>
      <c r="I553" s="544"/>
      <c r="J553" s="460">
        <f>J546</f>
        <v>138254.60999999999</v>
      </c>
      <c r="K553" s="460">
        <f t="shared" ref="K553" si="166">K546</f>
        <v>138234.50255</v>
      </c>
      <c r="L553" s="453">
        <f>K553/J553</f>
        <v>0.99985456217336999</v>
      </c>
      <c r="M553" s="476">
        <f>M546</f>
        <v>110214.59</v>
      </c>
    </row>
    <row r="554" spans="2:13" ht="16.5" thickBot="1" x14ac:dyDescent="0.3">
      <c r="B554" s="95" t="s">
        <v>131</v>
      </c>
      <c r="C554" s="59" t="s">
        <v>3</v>
      </c>
      <c r="D554" s="542"/>
      <c r="E554" s="307" t="s">
        <v>362</v>
      </c>
      <c r="F554" s="554" t="s">
        <v>588</v>
      </c>
      <c r="G554" s="543"/>
      <c r="H554" s="543"/>
      <c r="I554" s="544"/>
      <c r="J554" s="460">
        <f>J547+J549</f>
        <v>370</v>
      </c>
      <c r="K554" s="460">
        <f t="shared" ref="K554:L554" si="167">K547+K549</f>
        <v>0</v>
      </c>
      <c r="L554" s="453">
        <f t="shared" si="167"/>
        <v>0</v>
      </c>
      <c r="M554" s="476">
        <f>M547+M549</f>
        <v>27292</v>
      </c>
    </row>
    <row r="555" spans="2:13" s="81" customFormat="1" ht="15" customHeight="1" thickBot="1" x14ac:dyDescent="0.3">
      <c r="B555" s="545" t="s">
        <v>324</v>
      </c>
      <c r="C555" s="546"/>
      <c r="D555" s="546"/>
      <c r="E555" s="546"/>
      <c r="F555" s="546"/>
      <c r="G555" s="546"/>
      <c r="H555" s="546"/>
      <c r="I555" s="547"/>
      <c r="J555" s="368">
        <f>J553+J554</f>
        <v>138624.60999999999</v>
      </c>
      <c r="K555" s="368">
        <f>K553+K554</f>
        <v>138234.50255</v>
      </c>
      <c r="L555" s="369">
        <f t="shared" si="145"/>
        <v>0.99718587161399419</v>
      </c>
      <c r="M555" s="285">
        <f>M553+M554</f>
        <v>137506.59</v>
      </c>
    </row>
    <row r="556" spans="2:13" s="81" customFormat="1" ht="36" x14ac:dyDescent="0.25">
      <c r="B556" s="60" t="s">
        <v>131</v>
      </c>
      <c r="C556" s="79" t="s">
        <v>3</v>
      </c>
      <c r="D556" s="37" t="s">
        <v>298</v>
      </c>
      <c r="E556" s="23" t="s">
        <v>362</v>
      </c>
      <c r="F556" s="23" t="s">
        <v>355</v>
      </c>
      <c r="G556" s="79" t="s">
        <v>299</v>
      </c>
      <c r="H556" s="88">
        <v>5801</v>
      </c>
      <c r="I556" s="320" t="s">
        <v>589</v>
      </c>
      <c r="J556" s="430">
        <f>J557+J558</f>
        <v>1269</v>
      </c>
      <c r="K556" s="426">
        <f>K557+K558</f>
        <v>4.2032699999999998</v>
      </c>
      <c r="L556" s="375">
        <f t="shared" si="145"/>
        <v>3.312269503546099E-3</v>
      </c>
      <c r="M556" s="111">
        <f t="shared" ref="M556" si="168">M557+M558</f>
        <v>1260</v>
      </c>
    </row>
    <row r="557" spans="2:13" x14ac:dyDescent="0.25">
      <c r="B557" s="60" t="s">
        <v>131</v>
      </c>
      <c r="C557" s="79" t="s">
        <v>3</v>
      </c>
      <c r="D557" s="37" t="s">
        <v>298</v>
      </c>
      <c r="E557" s="23" t="s">
        <v>362</v>
      </c>
      <c r="F557" s="23" t="s">
        <v>355</v>
      </c>
      <c r="G557" s="79" t="s">
        <v>299</v>
      </c>
      <c r="H557" s="98">
        <v>580101</v>
      </c>
      <c r="I557" s="27" t="s">
        <v>151</v>
      </c>
      <c r="J557" s="360">
        <v>1269</v>
      </c>
      <c r="K557" s="345">
        <v>4.2032699999999998</v>
      </c>
      <c r="L557" s="375">
        <f t="shared" si="145"/>
        <v>3.312269503546099E-3</v>
      </c>
      <c r="M557" s="274">
        <v>0</v>
      </c>
    </row>
    <row r="558" spans="2:13" x14ac:dyDescent="0.25">
      <c r="B558" s="60" t="s">
        <v>131</v>
      </c>
      <c r="C558" s="79" t="s">
        <v>3</v>
      </c>
      <c r="D558" s="37" t="s">
        <v>298</v>
      </c>
      <c r="E558" s="23" t="s">
        <v>362</v>
      </c>
      <c r="F558" s="23" t="s">
        <v>355</v>
      </c>
      <c r="G558" s="79" t="s">
        <v>299</v>
      </c>
      <c r="H558" s="98">
        <v>580103</v>
      </c>
      <c r="I558" s="27" t="s">
        <v>195</v>
      </c>
      <c r="J558" s="360">
        <v>0</v>
      </c>
      <c r="K558" s="345">
        <v>0</v>
      </c>
      <c r="L558" s="375"/>
      <c r="M558" s="274">
        <v>1260</v>
      </c>
    </row>
    <row r="559" spans="2:13" ht="48.75" x14ac:dyDescent="0.25">
      <c r="B559" s="60" t="s">
        <v>131</v>
      </c>
      <c r="C559" s="79" t="s">
        <v>3</v>
      </c>
      <c r="D559" s="37" t="s">
        <v>298</v>
      </c>
      <c r="E559" s="23" t="s">
        <v>362</v>
      </c>
      <c r="F559" s="23" t="s">
        <v>355</v>
      </c>
      <c r="G559" s="79" t="s">
        <v>299</v>
      </c>
      <c r="H559" s="308">
        <v>6000</v>
      </c>
      <c r="I559" s="84" t="s">
        <v>590</v>
      </c>
      <c r="J559" s="360">
        <f>J560+J561+J562</f>
        <v>3000</v>
      </c>
      <c r="K559" s="339">
        <f>K560+K561+K562</f>
        <v>0</v>
      </c>
      <c r="L559" s="375">
        <f t="shared" si="145"/>
        <v>0</v>
      </c>
      <c r="M559" s="271">
        <f>M560+M561+M562</f>
        <v>64000</v>
      </c>
    </row>
    <row r="560" spans="2:13" x14ac:dyDescent="0.25">
      <c r="B560" s="55" t="s">
        <v>131</v>
      </c>
      <c r="C560" s="41" t="s">
        <v>3</v>
      </c>
      <c r="D560" s="38" t="s">
        <v>298</v>
      </c>
      <c r="E560" s="24" t="s">
        <v>362</v>
      </c>
      <c r="F560" s="24" t="s">
        <v>355</v>
      </c>
      <c r="G560" s="41" t="s">
        <v>299</v>
      </c>
      <c r="H560" s="38">
        <v>600100</v>
      </c>
      <c r="I560" s="41" t="s">
        <v>103</v>
      </c>
      <c r="J560" s="361">
        <v>2521</v>
      </c>
      <c r="K560" s="340">
        <v>0</v>
      </c>
      <c r="L560" s="375">
        <f t="shared" si="145"/>
        <v>0</v>
      </c>
      <c r="M560" s="269">
        <v>52941</v>
      </c>
    </row>
    <row r="561" spans="2:13" x14ac:dyDescent="0.25">
      <c r="B561" s="55" t="s">
        <v>131</v>
      </c>
      <c r="C561" s="41" t="s">
        <v>3</v>
      </c>
      <c r="D561" s="38" t="s">
        <v>298</v>
      </c>
      <c r="E561" s="24" t="s">
        <v>362</v>
      </c>
      <c r="F561" s="24" t="s">
        <v>355</v>
      </c>
      <c r="G561" s="41" t="s">
        <v>299</v>
      </c>
      <c r="H561" s="38">
        <v>600200</v>
      </c>
      <c r="I561" s="41" t="s">
        <v>105</v>
      </c>
      <c r="J561" s="361">
        <v>0</v>
      </c>
      <c r="K561" s="340">
        <v>0</v>
      </c>
      <c r="L561" s="375" t="e">
        <f t="shared" si="145"/>
        <v>#DIV/0!</v>
      </c>
      <c r="M561" s="269">
        <v>1000</v>
      </c>
    </row>
    <row r="562" spans="2:13" x14ac:dyDescent="0.25">
      <c r="B562" s="55" t="s">
        <v>131</v>
      </c>
      <c r="C562" s="41" t="s">
        <v>3</v>
      </c>
      <c r="D562" s="38" t="s">
        <v>298</v>
      </c>
      <c r="E562" s="24" t="s">
        <v>362</v>
      </c>
      <c r="F562" s="24" t="s">
        <v>355</v>
      </c>
      <c r="G562" s="41" t="s">
        <v>299</v>
      </c>
      <c r="H562" s="38">
        <v>600300</v>
      </c>
      <c r="I562" s="41" t="s">
        <v>107</v>
      </c>
      <c r="J562" s="361">
        <v>479</v>
      </c>
      <c r="K562" s="340">
        <v>0</v>
      </c>
      <c r="L562" s="393">
        <f t="shared" si="145"/>
        <v>0</v>
      </c>
      <c r="M562" s="269">
        <v>10059</v>
      </c>
    </row>
    <row r="563" spans="2:13" x14ac:dyDescent="0.25">
      <c r="B563" s="55" t="s">
        <v>131</v>
      </c>
      <c r="C563" s="41" t="s">
        <v>3</v>
      </c>
      <c r="D563" s="38" t="s">
        <v>298</v>
      </c>
      <c r="E563" s="24" t="s">
        <v>362</v>
      </c>
      <c r="F563" s="24" t="s">
        <v>355</v>
      </c>
      <c r="G563" s="41" t="s">
        <v>299</v>
      </c>
      <c r="H563" s="38">
        <v>710130</v>
      </c>
      <c r="I563" s="83" t="s">
        <v>561</v>
      </c>
      <c r="J563" s="361">
        <v>1022</v>
      </c>
      <c r="K563" s="340">
        <v>819.06169</v>
      </c>
      <c r="L563" s="393">
        <f t="shared" si="145"/>
        <v>0.80143022504892369</v>
      </c>
      <c r="M563" s="275">
        <v>1470</v>
      </c>
    </row>
    <row r="564" spans="2:13" ht="24.75" thickBot="1" x14ac:dyDescent="0.3">
      <c r="B564" s="61" t="s">
        <v>131</v>
      </c>
      <c r="C564" s="42" t="s">
        <v>3</v>
      </c>
      <c r="D564" s="39">
        <v>840302</v>
      </c>
      <c r="E564" s="25" t="s">
        <v>364</v>
      </c>
      <c r="F564" s="25" t="s">
        <v>355</v>
      </c>
      <c r="G564" s="42" t="s">
        <v>299</v>
      </c>
      <c r="H564" s="39">
        <v>400300</v>
      </c>
      <c r="I564" s="129" t="s">
        <v>300</v>
      </c>
      <c r="J564" s="376">
        <v>100268.39</v>
      </c>
      <c r="K564" s="351">
        <v>99082.41747</v>
      </c>
      <c r="L564" s="393">
        <f t="shared" si="145"/>
        <v>0.98817201981601577</v>
      </c>
      <c r="M564" s="270">
        <v>55000</v>
      </c>
    </row>
    <row r="565" spans="2:13" ht="15" customHeight="1" thickBot="1" x14ac:dyDescent="0.3">
      <c r="B565" s="534" t="s">
        <v>301</v>
      </c>
      <c r="C565" s="535"/>
      <c r="D565" s="535"/>
      <c r="E565" s="535"/>
      <c r="F565" s="535"/>
      <c r="G565" s="535"/>
      <c r="H565" s="535"/>
      <c r="I565" s="536"/>
      <c r="J565" s="372">
        <f>SUM(J557:J564)</f>
        <v>108559.39</v>
      </c>
      <c r="K565" s="421">
        <f>SUM(K557:K564)</f>
        <v>99905.682430000001</v>
      </c>
      <c r="L565" s="373">
        <f t="shared" si="145"/>
        <v>0.92028595987873552</v>
      </c>
      <c r="M565" s="284">
        <f>SUM(M557:M564)</f>
        <v>185730</v>
      </c>
    </row>
    <row r="566" spans="2:13" ht="24" x14ac:dyDescent="0.25">
      <c r="B566" s="60" t="s">
        <v>131</v>
      </c>
      <c r="C566" s="40" t="s">
        <v>3</v>
      </c>
      <c r="D566" s="57" t="s">
        <v>302</v>
      </c>
      <c r="E566" s="34" t="s">
        <v>364</v>
      </c>
      <c r="F566" s="34" t="s">
        <v>355</v>
      </c>
      <c r="G566" s="40" t="s">
        <v>303</v>
      </c>
      <c r="H566" s="103">
        <v>20</v>
      </c>
      <c r="I566" s="128" t="s">
        <v>403</v>
      </c>
      <c r="J566" s="360">
        <f>J567+J568</f>
        <v>7320</v>
      </c>
      <c r="K566" s="348">
        <f t="shared" ref="K566" si="169">K567+K568</f>
        <v>6580.7978700000003</v>
      </c>
      <c r="L566" s="456">
        <f t="shared" si="145"/>
        <v>0.89901610245901642</v>
      </c>
      <c r="M566" s="271">
        <f>M567+M568</f>
        <v>9000</v>
      </c>
    </row>
    <row r="567" spans="2:13" x14ac:dyDescent="0.25">
      <c r="B567" s="60" t="s">
        <v>131</v>
      </c>
      <c r="C567" s="79" t="s">
        <v>3</v>
      </c>
      <c r="D567" s="37" t="s">
        <v>302</v>
      </c>
      <c r="E567" s="23" t="s">
        <v>364</v>
      </c>
      <c r="F567" s="23" t="s">
        <v>355</v>
      </c>
      <c r="G567" s="41" t="s">
        <v>303</v>
      </c>
      <c r="H567" s="37"/>
      <c r="I567" s="79" t="s">
        <v>405</v>
      </c>
      <c r="J567" s="360">
        <v>2620</v>
      </c>
      <c r="K567" s="345">
        <f>(1743630.56+443632.93)/1000</f>
        <v>2187.2634900000003</v>
      </c>
      <c r="L567" s="408">
        <f t="shared" si="145"/>
        <v>0.83483339312977112</v>
      </c>
      <c r="M567" s="271">
        <f>1000+3000</f>
        <v>4000</v>
      </c>
    </row>
    <row r="568" spans="2:13" x14ac:dyDescent="0.25">
      <c r="B568" s="60" t="s">
        <v>131</v>
      </c>
      <c r="C568" s="79" t="s">
        <v>3</v>
      </c>
      <c r="D568" s="37" t="s">
        <v>302</v>
      </c>
      <c r="E568" s="23" t="s">
        <v>364</v>
      </c>
      <c r="F568" s="23" t="s">
        <v>355</v>
      </c>
      <c r="G568" s="41" t="s">
        <v>303</v>
      </c>
      <c r="H568" s="37">
        <v>200200</v>
      </c>
      <c r="I568" s="79" t="s">
        <v>404</v>
      </c>
      <c r="J568" s="360">
        <v>4700</v>
      </c>
      <c r="K568" s="345">
        <v>4393.5343800000001</v>
      </c>
      <c r="L568" s="408">
        <f t="shared" si="145"/>
        <v>0.9347945489361702</v>
      </c>
      <c r="M568" s="271">
        <v>5000</v>
      </c>
    </row>
    <row r="569" spans="2:13" ht="48.75" x14ac:dyDescent="0.25">
      <c r="B569" s="60" t="s">
        <v>131</v>
      </c>
      <c r="C569" s="79" t="s">
        <v>3</v>
      </c>
      <c r="D569" s="37" t="s">
        <v>302</v>
      </c>
      <c r="E569" s="23" t="s">
        <v>362</v>
      </c>
      <c r="F569" s="23" t="s">
        <v>355</v>
      </c>
      <c r="G569" s="41" t="s">
        <v>303</v>
      </c>
      <c r="H569" s="103">
        <v>5648</v>
      </c>
      <c r="I569" s="212" t="s">
        <v>502</v>
      </c>
      <c r="J569" s="360">
        <f>J570+J571+J572</f>
        <v>26609.91</v>
      </c>
      <c r="K569" s="339">
        <f t="shared" ref="K569" si="170">K570+K571+K572</f>
        <v>2038.4036799999999</v>
      </c>
      <c r="L569" s="408">
        <f t="shared" si="145"/>
        <v>7.6603178289592108E-2</v>
      </c>
      <c r="M569" s="271">
        <f>M570+M571+M572</f>
        <v>94251</v>
      </c>
    </row>
    <row r="570" spans="2:13" x14ac:dyDescent="0.25">
      <c r="B570" s="60" t="s">
        <v>131</v>
      </c>
      <c r="C570" s="79" t="s">
        <v>3</v>
      </c>
      <c r="D570" s="37" t="s">
        <v>302</v>
      </c>
      <c r="E570" s="23" t="s">
        <v>362</v>
      </c>
      <c r="F570" s="23" t="s">
        <v>355</v>
      </c>
      <c r="G570" s="41" t="s">
        <v>303</v>
      </c>
      <c r="H570" s="37">
        <v>564801</v>
      </c>
      <c r="I570" s="79" t="s">
        <v>503</v>
      </c>
      <c r="J570" s="360">
        <v>862</v>
      </c>
      <c r="K570" s="345">
        <v>305.76055000000002</v>
      </c>
      <c r="L570" s="408">
        <f t="shared" si="145"/>
        <v>0.35471061484918798</v>
      </c>
      <c r="M570" s="271">
        <v>14096</v>
      </c>
    </row>
    <row r="571" spans="2:13" x14ac:dyDescent="0.25">
      <c r="B571" s="60" t="s">
        <v>131</v>
      </c>
      <c r="C571" s="79" t="s">
        <v>3</v>
      </c>
      <c r="D571" s="37" t="s">
        <v>302</v>
      </c>
      <c r="E571" s="23" t="s">
        <v>362</v>
      </c>
      <c r="F571" s="23" t="s">
        <v>355</v>
      </c>
      <c r="G571" s="41" t="s">
        <v>303</v>
      </c>
      <c r="H571" s="37">
        <v>564802</v>
      </c>
      <c r="I571" s="79" t="s">
        <v>504</v>
      </c>
      <c r="J571" s="360">
        <v>25747.91</v>
      </c>
      <c r="K571" s="345">
        <v>1732.6431299999999</v>
      </c>
      <c r="L571" s="408">
        <f t="shared" si="145"/>
        <v>6.7292573649667092E-2</v>
      </c>
      <c r="M571" s="271">
        <v>79876</v>
      </c>
    </row>
    <row r="572" spans="2:13" x14ac:dyDescent="0.25">
      <c r="B572" s="60" t="s">
        <v>131</v>
      </c>
      <c r="C572" s="79" t="s">
        <v>3</v>
      </c>
      <c r="D572" s="37" t="s">
        <v>302</v>
      </c>
      <c r="E572" s="23" t="s">
        <v>362</v>
      </c>
      <c r="F572" s="23" t="s">
        <v>355</v>
      </c>
      <c r="G572" s="41" t="s">
        <v>303</v>
      </c>
      <c r="H572" s="37">
        <v>564803</v>
      </c>
      <c r="I572" s="79" t="s">
        <v>195</v>
      </c>
      <c r="J572" s="360">
        <v>0</v>
      </c>
      <c r="K572" s="345">
        <v>0</v>
      </c>
      <c r="L572" s="408">
        <v>0</v>
      </c>
      <c r="M572" s="271">
        <v>279</v>
      </c>
    </row>
    <row r="573" spans="2:13" x14ac:dyDescent="0.25">
      <c r="B573" s="60" t="s">
        <v>131</v>
      </c>
      <c r="C573" s="41" t="s">
        <v>3</v>
      </c>
      <c r="D573" s="38" t="s">
        <v>302</v>
      </c>
      <c r="E573" s="24" t="s">
        <v>362</v>
      </c>
      <c r="F573" s="24" t="s">
        <v>355</v>
      </c>
      <c r="G573" s="41" t="s">
        <v>303</v>
      </c>
      <c r="H573" s="38" t="s">
        <v>230</v>
      </c>
      <c r="I573" s="41" t="s">
        <v>103</v>
      </c>
      <c r="J573" s="361">
        <v>504</v>
      </c>
      <c r="K573" s="340">
        <v>0</v>
      </c>
      <c r="L573" s="408">
        <f t="shared" ref="L573:L586" si="171">K573/J573</f>
        <v>0</v>
      </c>
      <c r="M573" s="275">
        <v>1005</v>
      </c>
    </row>
    <row r="574" spans="2:13" x14ac:dyDescent="0.25">
      <c r="B574" s="55" t="s">
        <v>131</v>
      </c>
      <c r="C574" s="41" t="s">
        <v>3</v>
      </c>
      <c r="D574" s="38" t="s">
        <v>302</v>
      </c>
      <c r="E574" s="24" t="s">
        <v>362</v>
      </c>
      <c r="F574" s="24" t="s">
        <v>355</v>
      </c>
      <c r="G574" s="41" t="s">
        <v>303</v>
      </c>
      <c r="H574" s="38" t="s">
        <v>231</v>
      </c>
      <c r="I574" s="41" t="s">
        <v>107</v>
      </c>
      <c r="J574" s="361">
        <v>96</v>
      </c>
      <c r="K574" s="340">
        <v>0</v>
      </c>
      <c r="L574" s="408">
        <f t="shared" si="171"/>
        <v>0</v>
      </c>
      <c r="M574" s="275">
        <v>5293</v>
      </c>
    </row>
    <row r="575" spans="2:13" ht="15.75" thickBot="1" x14ac:dyDescent="0.3">
      <c r="B575" s="61" t="s">
        <v>131</v>
      </c>
      <c r="C575" s="42" t="s">
        <v>3</v>
      </c>
      <c r="D575" s="39" t="s">
        <v>302</v>
      </c>
      <c r="E575" s="25" t="s">
        <v>362</v>
      </c>
      <c r="F575" s="25" t="s">
        <v>355</v>
      </c>
      <c r="G575" s="42" t="s">
        <v>303</v>
      </c>
      <c r="H575" s="174" t="s">
        <v>158</v>
      </c>
      <c r="I575" s="305" t="s">
        <v>561</v>
      </c>
      <c r="J575" s="376">
        <v>29808.5</v>
      </c>
      <c r="K575" s="351">
        <v>26478.721829999999</v>
      </c>
      <c r="L575" s="408">
        <f t="shared" si="171"/>
        <v>0.88829433986950024</v>
      </c>
      <c r="M575" s="270">
        <f>8038+34.16</f>
        <v>8072.16</v>
      </c>
    </row>
    <row r="576" spans="2:13" ht="15.75" thickBot="1" x14ac:dyDescent="0.3">
      <c r="B576" s="534" t="s">
        <v>304</v>
      </c>
      <c r="C576" s="535"/>
      <c r="D576" s="535"/>
      <c r="E576" s="535"/>
      <c r="F576" s="535"/>
      <c r="G576" s="535"/>
      <c r="H576" s="535"/>
      <c r="I576" s="536"/>
      <c r="J576" s="372">
        <f>J566+J573+J574+J575+J569</f>
        <v>64338.41</v>
      </c>
      <c r="K576" s="372">
        <f t="shared" ref="K576" si="172">K566+K573+K574+K575+K569</f>
        <v>35097.92338</v>
      </c>
      <c r="L576" s="373">
        <f t="shared" si="171"/>
        <v>0.54552052778425819</v>
      </c>
      <c r="M576" s="284">
        <f>M566+M573+M574+M575+M569</f>
        <v>117621.16</v>
      </c>
    </row>
    <row r="577" spans="2:14" ht="24.75" thickBot="1" x14ac:dyDescent="0.3">
      <c r="B577" s="60" t="s">
        <v>131</v>
      </c>
      <c r="C577" s="79" t="s">
        <v>3</v>
      </c>
      <c r="D577" s="537">
        <v>84</v>
      </c>
      <c r="E577" s="22" t="s">
        <v>364</v>
      </c>
      <c r="F577" s="243"/>
      <c r="G577" s="540" t="s">
        <v>447</v>
      </c>
      <c r="H577" s="144">
        <v>20</v>
      </c>
      <c r="I577" s="128" t="s">
        <v>403</v>
      </c>
      <c r="J577" s="370">
        <f>J566</f>
        <v>7320</v>
      </c>
      <c r="K577" s="370">
        <f t="shared" ref="K577" si="173">K566</f>
        <v>6580.7978700000003</v>
      </c>
      <c r="L577" s="428">
        <f t="shared" si="171"/>
        <v>0.89901610245901642</v>
      </c>
      <c r="M577" s="280">
        <f>M566</f>
        <v>9000</v>
      </c>
    </row>
    <row r="578" spans="2:14" ht="24.75" thickBot="1" x14ac:dyDescent="0.3">
      <c r="B578" s="60" t="s">
        <v>131</v>
      </c>
      <c r="C578" s="79" t="s">
        <v>3</v>
      </c>
      <c r="D578" s="538"/>
      <c r="E578" s="22" t="s">
        <v>364</v>
      </c>
      <c r="F578" s="243"/>
      <c r="G578" s="541"/>
      <c r="H578" s="144">
        <v>40</v>
      </c>
      <c r="I578" s="138" t="str">
        <f>I564</f>
        <v>Subventii pentru acoperirea diferentelor de pret si tarif</v>
      </c>
      <c r="J578" s="434">
        <f t="shared" ref="J578" si="174">J564</f>
        <v>100268.39</v>
      </c>
      <c r="K578" s="370">
        <f>K564</f>
        <v>99082.41747</v>
      </c>
      <c r="L578" s="428">
        <f t="shared" si="171"/>
        <v>0.98817201981601577</v>
      </c>
      <c r="M578" s="474">
        <f t="shared" ref="M578" si="175">M564</f>
        <v>55000</v>
      </c>
    </row>
    <row r="579" spans="2:14" ht="49.5" thickBot="1" x14ac:dyDescent="0.3">
      <c r="B579" s="60"/>
      <c r="C579" s="79"/>
      <c r="D579" s="538"/>
      <c r="E579" s="22" t="s">
        <v>362</v>
      </c>
      <c r="F579" s="243"/>
      <c r="G579" s="541"/>
      <c r="H579" s="144">
        <v>56</v>
      </c>
      <c r="I579" s="212" t="s">
        <v>502</v>
      </c>
      <c r="J579" s="433">
        <f>J569</f>
        <v>26609.91</v>
      </c>
      <c r="K579" s="433">
        <f t="shared" ref="K579" si="176">K569</f>
        <v>2038.4036799999999</v>
      </c>
      <c r="L579" s="428">
        <f t="shared" si="171"/>
        <v>7.6603178289592108E-2</v>
      </c>
      <c r="M579" s="474">
        <f>M569</f>
        <v>94251</v>
      </c>
    </row>
    <row r="580" spans="2:14" ht="48.75" thickBot="1" x14ac:dyDescent="0.3">
      <c r="B580" s="60" t="s">
        <v>131</v>
      </c>
      <c r="C580" s="79" t="s">
        <v>3</v>
      </c>
      <c r="D580" s="538"/>
      <c r="E580" s="22" t="s">
        <v>362</v>
      </c>
      <c r="F580" s="243"/>
      <c r="G580" s="541"/>
      <c r="H580" s="144">
        <v>58</v>
      </c>
      <c r="I580" s="126" t="s">
        <v>399</v>
      </c>
      <c r="J580" s="370">
        <f>J557</f>
        <v>1269</v>
      </c>
      <c r="K580" s="370">
        <f t="shared" ref="K580" si="177">K557</f>
        <v>4.2032699999999998</v>
      </c>
      <c r="L580" s="428">
        <f t="shared" si="171"/>
        <v>3.312269503546099E-3</v>
      </c>
      <c r="M580" s="280">
        <f>M557+M558</f>
        <v>1260</v>
      </c>
    </row>
    <row r="581" spans="2:14" ht="48.75" thickBot="1" x14ac:dyDescent="0.3">
      <c r="B581" s="60" t="s">
        <v>131</v>
      </c>
      <c r="C581" s="79" t="s">
        <v>3</v>
      </c>
      <c r="D581" s="538"/>
      <c r="E581" s="22" t="s">
        <v>362</v>
      </c>
      <c r="F581" s="243"/>
      <c r="G581" s="541"/>
      <c r="H581" s="144">
        <v>60</v>
      </c>
      <c r="I581" s="126" t="s">
        <v>442</v>
      </c>
      <c r="J581" s="370">
        <f t="shared" ref="J581" si="178">J574+J573+J562+J560</f>
        <v>3600</v>
      </c>
      <c r="K581" s="370">
        <f t="shared" ref="K581" si="179">K574+K573+K562+K560</f>
        <v>0</v>
      </c>
      <c r="L581" s="428">
        <f t="shared" si="171"/>
        <v>0</v>
      </c>
      <c r="M581" s="280">
        <f>M574+M573+M562+M560+M561</f>
        <v>70298</v>
      </c>
    </row>
    <row r="582" spans="2:14" ht="15.75" customHeight="1" thickBot="1" x14ac:dyDescent="0.3">
      <c r="B582" s="60" t="s">
        <v>131</v>
      </c>
      <c r="C582" s="79" t="s">
        <v>3</v>
      </c>
      <c r="D582" s="538"/>
      <c r="E582" s="22" t="s">
        <v>362</v>
      </c>
      <c r="F582" s="243"/>
      <c r="G582" s="542"/>
      <c r="H582" s="144">
        <v>71</v>
      </c>
      <c r="I582" s="138" t="s">
        <v>444</v>
      </c>
      <c r="J582" s="370">
        <f t="shared" ref="J582" si="180">J575+J563</f>
        <v>30830.5</v>
      </c>
      <c r="K582" s="370">
        <f t="shared" ref="K582" si="181">K575+K563</f>
        <v>27297.783519999997</v>
      </c>
      <c r="L582" s="428">
        <f t="shared" si="171"/>
        <v>0.88541488201618523</v>
      </c>
      <c r="M582" s="280">
        <f t="shared" ref="M582" si="182">M575+M563</f>
        <v>9542.16</v>
      </c>
    </row>
    <row r="583" spans="2:14" ht="15.75" customHeight="1" thickBot="1" x14ac:dyDescent="0.3">
      <c r="B583" s="60" t="s">
        <v>131</v>
      </c>
      <c r="C583" s="79" t="s">
        <v>3</v>
      </c>
      <c r="D583" s="538"/>
      <c r="E583" s="22" t="s">
        <v>364</v>
      </c>
      <c r="F583" s="543" t="s">
        <v>472</v>
      </c>
      <c r="G583" s="543"/>
      <c r="H583" s="543"/>
      <c r="I583" s="544"/>
      <c r="J583" s="358">
        <f t="shared" ref="J583:K583" si="183">J577+J578</f>
        <v>107588.39</v>
      </c>
      <c r="K583" s="358">
        <f t="shared" si="183"/>
        <v>105663.21534</v>
      </c>
      <c r="L583" s="461">
        <f t="shared" si="171"/>
        <v>0.98210611144938587</v>
      </c>
      <c r="M583" s="283">
        <f>M577+M578</f>
        <v>64000</v>
      </c>
    </row>
    <row r="584" spans="2:14" ht="15.75" customHeight="1" thickBot="1" x14ac:dyDescent="0.3">
      <c r="B584" s="60" t="s">
        <v>131</v>
      </c>
      <c r="C584" s="79" t="s">
        <v>3</v>
      </c>
      <c r="D584" s="539"/>
      <c r="E584" s="22" t="s">
        <v>362</v>
      </c>
      <c r="F584" s="543" t="s">
        <v>473</v>
      </c>
      <c r="G584" s="543"/>
      <c r="H584" s="543"/>
      <c r="I584" s="544"/>
      <c r="J584" s="358">
        <f>J580+J581+J582+J579</f>
        <v>62309.41</v>
      </c>
      <c r="K584" s="358">
        <f t="shared" ref="K584" si="184">K580+K581+K582+K579</f>
        <v>29340.390469999998</v>
      </c>
      <c r="L584" s="461">
        <f t="shared" si="171"/>
        <v>0.47088217445807939</v>
      </c>
      <c r="M584" s="283">
        <f>M580+M581+M582+M579</f>
        <v>175351.16</v>
      </c>
    </row>
    <row r="585" spans="2:14" ht="19.5" customHeight="1" thickBot="1" x14ac:dyDescent="0.3">
      <c r="B585" s="528" t="s">
        <v>325</v>
      </c>
      <c r="C585" s="529"/>
      <c r="D585" s="529"/>
      <c r="E585" s="529"/>
      <c r="F585" s="529"/>
      <c r="G585" s="529"/>
      <c r="H585" s="529"/>
      <c r="I585" s="530"/>
      <c r="J585" s="368">
        <f t="shared" ref="J585" si="185">SUM(J577:J582)</f>
        <v>169897.8</v>
      </c>
      <c r="K585" s="368">
        <f t="shared" ref="K585" si="186">SUM(K577:K582)</f>
        <v>135003.60580999998</v>
      </c>
      <c r="L585" s="461">
        <f t="shared" si="171"/>
        <v>0.79461656248638879</v>
      </c>
      <c r="M585" s="285">
        <f>M583+M584</f>
        <v>239351.16</v>
      </c>
      <c r="N585" s="4"/>
    </row>
    <row r="586" spans="2:14" ht="21" thickBot="1" x14ac:dyDescent="0.3">
      <c r="B586" s="531" t="s">
        <v>353</v>
      </c>
      <c r="C586" s="532"/>
      <c r="D586" s="532"/>
      <c r="E586" s="532"/>
      <c r="F586" s="532"/>
      <c r="G586" s="532"/>
      <c r="H586" s="532"/>
      <c r="I586" s="533"/>
      <c r="J586" s="462">
        <f>J585+J555+J545+J522+J418+J366+J348+J239+J197+J193+J178+J477</f>
        <v>1077080.57</v>
      </c>
      <c r="K586" s="462">
        <f>K585+K555+K545+K522+K418+K366+K348+K239+K197+K193+K178+K477</f>
        <v>837403.24676000001</v>
      </c>
      <c r="L586" s="463">
        <f t="shared" si="171"/>
        <v>0.7774750284094345</v>
      </c>
      <c r="M586" s="265">
        <f>M585+M555+M545+M522+M477+M418+M366+M348+M239+M197+M193+M178</f>
        <v>1165652.5060000001</v>
      </c>
    </row>
    <row r="587" spans="2:14" x14ac:dyDescent="0.25">
      <c r="B587" s="5"/>
      <c r="C587" s="6"/>
      <c r="D587" s="7"/>
      <c r="E587" s="7"/>
      <c r="F587" s="7"/>
      <c r="G587" s="5"/>
      <c r="H587" s="7"/>
      <c r="I587" s="8"/>
      <c r="K587" s="205"/>
      <c r="L587" s="216"/>
    </row>
    <row r="588" spans="2:14" ht="18.75" x14ac:dyDescent="0.3">
      <c r="B588" s="632" t="s">
        <v>613</v>
      </c>
      <c r="C588" s="633"/>
      <c r="D588" s="634"/>
      <c r="E588" s="634"/>
      <c r="F588" s="634"/>
      <c r="G588" s="632"/>
      <c r="H588" s="634"/>
      <c r="I588" s="635"/>
      <c r="J588" s="634"/>
      <c r="K588" s="634"/>
      <c r="L588" s="634"/>
      <c r="M588" s="637"/>
    </row>
    <row r="589" spans="2:14" ht="32.25" customHeight="1" x14ac:dyDescent="0.25">
      <c r="B589" s="636" t="s">
        <v>614</v>
      </c>
      <c r="C589" s="636"/>
      <c r="D589" s="636"/>
      <c r="E589" s="636"/>
      <c r="F589" s="636"/>
      <c r="G589" s="636"/>
      <c r="H589" s="636"/>
      <c r="I589" s="636"/>
      <c r="J589" s="636"/>
      <c r="K589" s="636"/>
      <c r="L589" s="636"/>
      <c r="M589" s="636"/>
    </row>
  </sheetData>
  <mergeCells count="130">
    <mergeCell ref="B589:M589"/>
    <mergeCell ref="B1:C1"/>
    <mergeCell ref="B10:M10"/>
    <mergeCell ref="L2:M2"/>
    <mergeCell ref="M232:M233"/>
    <mergeCell ref="J232:J233"/>
    <mergeCell ref="K232:K233"/>
    <mergeCell ref="L232:L233"/>
    <mergeCell ref="M419:M424"/>
    <mergeCell ref="M426:M430"/>
    <mergeCell ref="B186:I186"/>
    <mergeCell ref="B190:I190"/>
    <mergeCell ref="B191:D192"/>
    <mergeCell ref="B257:I257"/>
    <mergeCell ref="B265:I265"/>
    <mergeCell ref="H267:H269"/>
    <mergeCell ref="B286:I286"/>
    <mergeCell ref="B302:I302"/>
    <mergeCell ref="B231:I231"/>
    <mergeCell ref="D232:D238"/>
    <mergeCell ref="G232:G236"/>
    <mergeCell ref="F237:I237"/>
    <mergeCell ref="F238:I238"/>
    <mergeCell ref="B239:I239"/>
    <mergeCell ref="B305:I305"/>
    <mergeCell ref="M435:M438"/>
    <mergeCell ref="M440:M441"/>
    <mergeCell ref="M447:M448"/>
    <mergeCell ref="M450:M451"/>
    <mergeCell ref="M457:M459"/>
    <mergeCell ref="M508:M509"/>
    <mergeCell ref="B2:H2"/>
    <mergeCell ref="B4:M4"/>
    <mergeCell ref="G12:I12"/>
    <mergeCell ref="G13:I13"/>
    <mergeCell ref="B132:M132"/>
    <mergeCell ref="G133:I133"/>
    <mergeCell ref="G134:I134"/>
    <mergeCell ref="B11:I11"/>
    <mergeCell ref="F191:I191"/>
    <mergeCell ref="F192:I192"/>
    <mergeCell ref="B193:I193"/>
    <mergeCell ref="B197:I197"/>
    <mergeCell ref="B226:I226"/>
    <mergeCell ref="B229:I229"/>
    <mergeCell ref="F176:I176"/>
    <mergeCell ref="F177:I177"/>
    <mergeCell ref="B178:I178"/>
    <mergeCell ref="B183:I183"/>
    <mergeCell ref="B307:I307"/>
    <mergeCell ref="B309:I309"/>
    <mergeCell ref="B318:I318"/>
    <mergeCell ref="B328:I328"/>
    <mergeCell ref="D329:D345"/>
    <mergeCell ref="G329:G345"/>
    <mergeCell ref="H329:H330"/>
    <mergeCell ref="H331:H333"/>
    <mergeCell ref="H337:H338"/>
    <mergeCell ref="B357:I357"/>
    <mergeCell ref="D358:D365"/>
    <mergeCell ref="G358:G363"/>
    <mergeCell ref="F364:I364"/>
    <mergeCell ref="F365:I365"/>
    <mergeCell ref="B366:I366"/>
    <mergeCell ref="H342:H343"/>
    <mergeCell ref="F346:I346"/>
    <mergeCell ref="F347:I347"/>
    <mergeCell ref="B348:I348"/>
    <mergeCell ref="B354:I354"/>
    <mergeCell ref="B375:I375"/>
    <mergeCell ref="B378:I378"/>
    <mergeCell ref="B384:I384"/>
    <mergeCell ref="B390:I390"/>
    <mergeCell ref="B395:I395"/>
    <mergeCell ref="D396:D417"/>
    <mergeCell ref="E396:E400"/>
    <mergeCell ref="F396:F400"/>
    <mergeCell ref="G396:G415"/>
    <mergeCell ref="H396:H400"/>
    <mergeCell ref="F416:I416"/>
    <mergeCell ref="F417:I417"/>
    <mergeCell ref="B418:I418"/>
    <mergeCell ref="B425:I425"/>
    <mergeCell ref="B431:I431"/>
    <mergeCell ref="B434:I434"/>
    <mergeCell ref="E401:E406"/>
    <mergeCell ref="F401:F406"/>
    <mergeCell ref="H401:H406"/>
    <mergeCell ref="E407:E412"/>
    <mergeCell ref="F407:F412"/>
    <mergeCell ref="H407:H412"/>
    <mergeCell ref="B477:I477"/>
    <mergeCell ref="B487:I487"/>
    <mergeCell ref="B491:I491"/>
    <mergeCell ref="B507:I507"/>
    <mergeCell ref="D508:D521"/>
    <mergeCell ref="G508:G519"/>
    <mergeCell ref="F520:I520"/>
    <mergeCell ref="F521:I521"/>
    <mergeCell ref="B439:I439"/>
    <mergeCell ref="B462:I462"/>
    <mergeCell ref="D463:D476"/>
    <mergeCell ref="G463:G474"/>
    <mergeCell ref="F475:I475"/>
    <mergeCell ref="F476:I476"/>
    <mergeCell ref="B522:I522"/>
    <mergeCell ref="B524:I524"/>
    <mergeCell ref="B529:I529"/>
    <mergeCell ref="B531:I531"/>
    <mergeCell ref="B534:I534"/>
    <mergeCell ref="B538:I538"/>
    <mergeCell ref="B548:I548"/>
    <mergeCell ref="B552:I552"/>
    <mergeCell ref="D553:D554"/>
    <mergeCell ref="F553:I553"/>
    <mergeCell ref="F554:I554"/>
    <mergeCell ref="B585:I585"/>
    <mergeCell ref="B586:I586"/>
    <mergeCell ref="B565:I565"/>
    <mergeCell ref="B576:I576"/>
    <mergeCell ref="D577:D584"/>
    <mergeCell ref="G577:G582"/>
    <mergeCell ref="F583:I583"/>
    <mergeCell ref="F584:I584"/>
    <mergeCell ref="D539:D544"/>
    <mergeCell ref="G539:G542"/>
    <mergeCell ref="F543:I543"/>
    <mergeCell ref="F544:I544"/>
    <mergeCell ref="B545:I545"/>
    <mergeCell ref="B555:I555"/>
  </mergeCells>
  <printOptions horizontalCentered="1"/>
  <pageMargins left="0.39370078740157483" right="0.39370078740157483" top="0.39370078740157483" bottom="0.39370078740157483" header="0" footer="0"/>
  <pageSetup paperSize="9" scale="65" fitToHeight="0" orientation="landscape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PROIECT BUGET 2025</vt:lpstr>
      <vt:lpstr>'PROIECT BUGET 2025'!Print_Titles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Ioana Otilia Pelin</dc:creator>
  <cp:lastModifiedBy>Ioana Otilia Pelin</cp:lastModifiedBy>
  <cp:lastPrinted>2025-03-07T13:19:14Z</cp:lastPrinted>
  <dcterms:created xsi:type="dcterms:W3CDTF">2024-03-04T11:49:38Z</dcterms:created>
  <dcterms:modified xsi:type="dcterms:W3CDTF">2025-03-07T13:37:29Z</dcterms:modified>
</cp:coreProperties>
</file>